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T\Desktop\"/>
    </mc:Choice>
  </mc:AlternateContent>
  <bookViews>
    <workbookView xWindow="0" yWindow="0" windowWidth="20490" windowHeight="7650"/>
  </bookViews>
  <sheets>
    <sheet name="داده ها" sheetId="2" r:id="rId1"/>
    <sheet name="لیست حقوق" sheetId="3" r:id="rId2"/>
    <sheet name="فیش حقوقی" sheetId="4" r:id="rId3"/>
    <sheet name="تنظیمات" sheetId="1" r:id="rId4"/>
    <sheet name="لینک خرید نسخه کامل" sheetId="7" r:id="rId5"/>
    <sheet name="امکانات" sheetId="5" r:id="rId6"/>
  </sheets>
  <definedNames>
    <definedName name="_xlnm.Print_Area" localSheetId="2">'فیش حقوقی'!$A:$E</definedName>
    <definedName name="بله">تنظیمات!$J$5</definedName>
    <definedName name="خیر">تنظیمات!$K$5</definedName>
    <definedName name="عیدی_سنوات_سالانه">تنظیمات!#REF!</definedName>
    <definedName name="معافیت_ماهانه_پله1">تنظیمات!$E$3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6" i="3" l="1"/>
  <c r="S7" i="3"/>
  <c r="S8" i="3"/>
  <c r="S9" i="3"/>
  <c r="S5" i="3"/>
  <c r="F7" i="2" l="1"/>
  <c r="C3" i="4" l="1"/>
  <c r="F8" i="2" l="1"/>
  <c r="F9" i="2"/>
  <c r="F10" i="2"/>
  <c r="F11" i="2"/>
  <c r="O7" i="2" l="1"/>
  <c r="O8" i="2" l="1"/>
  <c r="O9" i="2"/>
  <c r="O10" i="2"/>
  <c r="O11" i="2"/>
  <c r="A9" i="3" l="1"/>
  <c r="B9" i="3" s="1"/>
  <c r="V11" i="2"/>
  <c r="V9" i="2"/>
  <c r="A7" i="3"/>
  <c r="B7" i="3" s="1"/>
  <c r="D7" i="3" s="1"/>
  <c r="V10" i="2"/>
  <c r="A8" i="3"/>
  <c r="B8" i="3" s="1"/>
  <c r="A6" i="3"/>
  <c r="B6" i="3" s="1"/>
  <c r="D6" i="3" s="1"/>
  <c r="A5" i="3"/>
  <c r="B5" i="3" s="1"/>
  <c r="C2" i="4"/>
  <c r="V7" i="2"/>
  <c r="B25" i="1"/>
  <c r="C25" i="1"/>
  <c r="D25" i="1"/>
  <c r="E25" i="1"/>
  <c r="C8" i="3" l="1"/>
  <c r="E8" i="3"/>
  <c r="R10" i="2"/>
  <c r="F25" i="1"/>
  <c r="P7" i="2"/>
  <c r="P11" i="2"/>
  <c r="Q11" i="2" s="1"/>
  <c r="P10" i="2"/>
  <c r="Q10" i="2" s="1"/>
  <c r="P9" i="2"/>
  <c r="Q9" i="2" s="1"/>
  <c r="P8" i="2"/>
  <c r="Q8" i="2" s="1"/>
  <c r="R9" i="2"/>
  <c r="W11" i="2"/>
  <c r="L9" i="3" s="1"/>
  <c r="W7" i="2"/>
  <c r="L5" i="3" s="1"/>
  <c r="C7" i="3"/>
  <c r="H8" i="3"/>
  <c r="K7" i="3"/>
  <c r="K8" i="3"/>
  <c r="J5" i="3"/>
  <c r="F5" i="3"/>
  <c r="J8" i="3"/>
  <c r="E9" i="3"/>
  <c r="H9" i="3"/>
  <c r="K9" i="3"/>
  <c r="C9" i="3"/>
  <c r="D9" i="3"/>
  <c r="G9" i="3"/>
  <c r="F9" i="3"/>
  <c r="R9" i="3"/>
  <c r="J9" i="3"/>
  <c r="D5" i="3"/>
  <c r="H7" i="3"/>
  <c r="E7" i="3"/>
  <c r="D8" i="3"/>
  <c r="Q8" i="3"/>
  <c r="D35" i="4"/>
  <c r="B33" i="4"/>
  <c r="C6" i="3"/>
  <c r="F6" i="3"/>
  <c r="H6" i="3"/>
  <c r="E6" i="3"/>
  <c r="K5" i="3"/>
  <c r="H5" i="3"/>
  <c r="E5" i="3"/>
  <c r="C5" i="3"/>
  <c r="W8" i="2"/>
  <c r="L6" i="3" s="1"/>
  <c r="Q7" i="2"/>
  <c r="J7" i="3"/>
  <c r="F7" i="3"/>
  <c r="R11" i="2"/>
  <c r="G8" i="3"/>
  <c r="R7" i="2"/>
  <c r="G5" i="3"/>
  <c r="G7" i="3"/>
  <c r="F8" i="3"/>
  <c r="Q5" i="3"/>
  <c r="Q9" i="3"/>
  <c r="R5" i="3"/>
  <c r="W10" i="2"/>
  <c r="L8" i="3" s="1"/>
  <c r="W9" i="2"/>
  <c r="L7" i="3" s="1"/>
  <c r="R8" i="3"/>
  <c r="R8" i="2"/>
  <c r="G6" i="3"/>
  <c r="Z8" i="3" l="1"/>
  <c r="M8" i="3"/>
  <c r="M5" i="3"/>
  <c r="O9" i="3"/>
  <c r="P9" i="3"/>
  <c r="N9" i="3"/>
  <c r="M9" i="3"/>
  <c r="P5" i="3"/>
  <c r="N5" i="3"/>
  <c r="O8" i="3"/>
  <c r="N8" i="3"/>
  <c r="P8" i="3"/>
  <c r="M7" i="3"/>
  <c r="O7" i="3"/>
  <c r="N7" i="3"/>
  <c r="P7" i="3"/>
  <c r="Z7" i="3"/>
  <c r="Z5" i="3"/>
  <c r="Z9" i="3"/>
  <c r="V8" i="2"/>
  <c r="K6" i="3" s="1"/>
  <c r="M6" i="3" s="1"/>
  <c r="O5" i="3"/>
  <c r="J6" i="3"/>
  <c r="Z6" i="3" s="1"/>
  <c r="R7" i="3"/>
  <c r="Q7" i="3"/>
  <c r="Q6" i="3"/>
  <c r="R6" i="3"/>
  <c r="P6" i="3" l="1"/>
  <c r="N6" i="3"/>
  <c r="Y8" i="3"/>
  <c r="AG8" i="3"/>
  <c r="AH8" i="3" s="1"/>
  <c r="AK8" i="3" s="1"/>
  <c r="AG5" i="3"/>
  <c r="AJ5" i="3" s="1"/>
  <c r="Y5" i="3"/>
  <c r="AG7" i="3"/>
  <c r="Y7" i="3"/>
  <c r="AG9" i="3"/>
  <c r="AI9" i="3" s="1"/>
  <c r="Y9" i="3"/>
  <c r="O6" i="3"/>
  <c r="AJ9" i="3" l="1"/>
  <c r="AI8" i="3"/>
  <c r="AJ8" i="3"/>
  <c r="Y6" i="3"/>
  <c r="AG6" i="3"/>
  <c r="AH6" i="3" s="1"/>
  <c r="AK6" i="3" s="1"/>
  <c r="AH9" i="3"/>
  <c r="AH5" i="3"/>
  <c r="AI5" i="3"/>
  <c r="AH7" i="3"/>
  <c r="AK7" i="3" s="1"/>
  <c r="AI7" i="3"/>
  <c r="AJ7" i="3"/>
  <c r="AK5" i="3" l="1"/>
  <c r="AK9" i="3"/>
  <c r="AL9" i="3" s="1"/>
  <c r="AJ6" i="3"/>
  <c r="AI6" i="3"/>
  <c r="AL8" i="3"/>
  <c r="AL5" i="3" l="1"/>
  <c r="AL7" i="3"/>
  <c r="AL6" i="3"/>
</calcChain>
</file>

<file path=xl/comments1.xml><?xml version="1.0" encoding="utf-8"?>
<comments xmlns="http://schemas.openxmlformats.org/spreadsheetml/2006/main">
  <authors>
    <author>Raya-Bit</author>
  </authors>
  <commentList>
    <comment ref="F6" authorId="0" shapeId="0">
      <text>
        <r>
          <rPr>
            <b/>
            <sz val="9"/>
            <color indexed="81"/>
            <rFont val="Tahoma"/>
            <family val="2"/>
          </rPr>
          <t>برابر تعداد روز های ماه</t>
        </r>
      </text>
    </comment>
    <comment ref="G6" authorId="0" shapeId="0">
      <text>
        <r>
          <rPr>
            <b/>
            <sz val="9"/>
            <color indexed="81"/>
            <rFont val="Tahoma"/>
            <family val="2"/>
          </rPr>
          <t>ساعات حضور شخص:
شخص چند ساعت در کارگاه/محل شرکت حضور داشته است.  یعنی به غیر از روزهای تغطیل، جمعه یا مرخصی</t>
        </r>
      </text>
    </comment>
    <comment ref="H6" authorId="0" shapeId="0">
      <text>
        <r>
          <rPr>
            <b/>
            <sz val="9"/>
            <color indexed="81"/>
            <rFont val="Tahoma"/>
            <family val="2"/>
          </rPr>
          <t>به ازای هر روز 7 ساعت و 20 دقیقه که معادل ریاضیش 7.3333 می باشد.</t>
        </r>
      </text>
    </comment>
    <comment ref="I6" authorId="0" shapeId="0">
      <text>
        <r>
          <rPr>
            <b/>
            <sz val="9"/>
            <color indexed="81"/>
            <rFont val="Tahoma"/>
            <family val="2"/>
          </rPr>
          <t>در صورتی که کارگر از تمام/بیشتراز مرخصی استخقاقی خود استفاده کرده باشد مقدار صفر نمایش داده میشود اما در اصل به عنوان کسر کار نیز منظور میشود.</t>
        </r>
      </text>
    </comment>
    <comment ref="S6" authorId="0" shapeId="0">
      <text>
        <r>
          <rPr>
            <b/>
            <sz val="9"/>
            <color indexed="81"/>
            <rFont val="Tahoma"/>
            <family val="2"/>
          </rPr>
          <t>حداقل حقوق بدون درنظر گرفتن اقلامی مثل پایه سنوات، سختی کار و سایر مواردی که به تبع شغل پرداخت میشه</t>
        </r>
      </text>
    </comment>
    <comment ref="T6" authorId="0" shapeId="0">
      <text>
        <r>
          <rPr>
            <b/>
            <sz val="9"/>
            <color indexed="81"/>
            <rFont val="Tahoma"/>
            <family val="2"/>
          </rPr>
          <t>به صورت دستی وارد می کنیم</t>
        </r>
      </text>
    </comment>
    <comment ref="U6" authorId="0" shapeId="0">
      <text>
        <r>
          <rPr>
            <b/>
            <sz val="9"/>
            <color indexed="81"/>
            <rFont val="Tahoma"/>
            <family val="2"/>
          </rPr>
          <t>حاصل جمع مزذ ثابت و پایه سنوات و ...</t>
        </r>
      </text>
    </comment>
    <comment ref="W6" authorId="0" shapeId="0">
      <text>
        <r>
          <rPr>
            <b/>
            <sz val="9"/>
            <color indexed="81"/>
            <rFont val="Tahoma"/>
            <family val="2"/>
          </rPr>
          <t>حاصلضرب تعداد روزهای ماه در مزد روزانه</t>
        </r>
      </text>
    </comment>
  </commentList>
</comments>
</file>

<file path=xl/comments2.xml><?xml version="1.0" encoding="utf-8"?>
<comments xmlns="http://schemas.openxmlformats.org/spreadsheetml/2006/main">
  <authors>
    <author>djawad Ghased</author>
  </authors>
  <commentList>
    <comment ref="T4" authorId="0" shapeId="0">
      <text>
        <r>
          <rPr>
            <b/>
            <sz val="9"/>
            <color indexed="81"/>
            <rFont val="Tahoma"/>
            <family val="2"/>
          </rPr>
          <t>عددی بین 0 الی 12
برای محاسبه حق سنوات و عیدی و پاداش 
** مهم حق سنوات با پایه (سنوات) تفاوت دارد.
------
این عدد در واقع تقسیم بر 12 و به عنوان نسبت در حق سنوات و عیدی ضرب میشود.
------
اگر حق سنوات و عیدی و پاداش را ماهانه پرداخت می کنید می توانید عدد 1 را وارد کنید. اگر هر 3 ماه پرداخت میکنید به عنوان مثال در آخر خرداد، در آخر شهریور، آخر آذر و آخر اسفند؛ در این صورت باید سابقه را برای فروردین و  اردیبهشت صفر و برای خرداد عدد 3 وارد کنید. همینطور برای تیر و مرداد صفر و برای شهریور عدد 3 و همینطور تا انتها.
------
اگر حق سنوات و عیدی را پایان سال پرداخت می کنید پس باید برای همه ماه ها در این ستون عدد صفر را واردکنید و برای اسفند ماه عدد 12 را وارد کنید.</t>
        </r>
      </text>
    </comment>
    <comment ref="U4" authorId="0" shapeId="0">
      <text>
        <r>
          <rPr>
            <b/>
            <sz val="9"/>
            <color indexed="81"/>
            <rFont val="Tahoma"/>
            <family val="2"/>
          </rPr>
          <t>معادل 30 روز حقوق که معمولا در پایان سال بر اساس سابقه، پرداخت میشود. 
نحوه محاسبه:
حقوق روزانه × 30 × سابقه (ماه) / 12</t>
        </r>
      </text>
    </comment>
    <comment ref="V4" authorId="0" shapeId="0">
      <text>
        <r>
          <rPr>
            <b/>
            <sz val="9"/>
            <color indexed="81"/>
            <rFont val="Tahoma"/>
            <family val="2"/>
          </rPr>
          <t>معادل 60 روز حقوق تا سقف 90 روز حقوق حداقلی قانون کار</t>
        </r>
      </text>
    </comment>
    <comment ref="X4" authorId="0" shapeId="0">
      <text>
        <r>
          <rPr>
            <b/>
            <sz val="9"/>
            <color indexed="81"/>
            <rFont val="Tahoma"/>
            <family val="2"/>
          </rPr>
          <t xml:space="preserve">مهم:
به صورت پیشفرض این مورد جزو مزایای غیرمستمر درنظر گرفته شده و در نتیجه مشمول مالیات نمیشود.
</t>
        </r>
      </text>
    </comment>
    <comment ref="AE4" authorId="0" shapeId="0">
      <text>
        <r>
          <rPr>
            <b/>
            <sz val="9"/>
            <color indexed="81"/>
            <rFont val="Tahoma"/>
            <family val="2"/>
          </rPr>
          <t xml:space="preserve">موارد غیرمشمول مالیات:
-حق اولاد
-حق ماموریت
-حق سنوات
-عیدی و پاداش تا میزان 1/12 معافیت مالیاتی سالیانه
</t>
        </r>
      </text>
    </comment>
    <comment ref="AG4" authorId="0" shapeId="0">
      <text>
        <r>
          <rPr>
            <b/>
            <sz val="9"/>
            <color indexed="81"/>
            <rFont val="Tahoma"/>
            <family val="2"/>
          </rPr>
          <t>https://www.tamin.ir/News/Item/1950/2/1950.html
مزایایی که مشمول کسر حق بیمه نیست به شرح زیر 
است:
بازخرید ایام مرخصی.
هزینه عائلمه مندی.
هزینه سفر و فوق العاده مأموریت.
عیدی.
مابه التفاوت کمک هزینه مسکن و خواربار در ایام بیماری.
حق شیر.
    پاداش نهضت سواد آموزی.
حق التضمین (کسر صندوق).
خسارت اخراج و مزایای پایان کار.</t>
        </r>
      </text>
    </comment>
  </commentList>
</comments>
</file>

<file path=xl/sharedStrings.xml><?xml version="1.0" encoding="utf-8"?>
<sst xmlns="http://schemas.openxmlformats.org/spreadsheetml/2006/main" count="323" uniqueCount="205">
  <si>
    <t>بسم ا... الرحمن الرحیم</t>
  </si>
  <si>
    <t>ماه جاری</t>
  </si>
  <si>
    <t>تیر</t>
  </si>
  <si>
    <t>سال جاری</t>
  </si>
  <si>
    <t>ردیف</t>
  </si>
  <si>
    <t>شماره پرسنلی</t>
  </si>
  <si>
    <t>نام</t>
  </si>
  <si>
    <t>نام خانوادگی</t>
  </si>
  <si>
    <t>سمت</t>
  </si>
  <si>
    <t>کارکرد کل (روز)</t>
  </si>
  <si>
    <t>کارکرد واقعی (ساعت)</t>
  </si>
  <si>
    <t>مرخصی استحقاقی(ساعت)</t>
  </si>
  <si>
    <t>مانده مرخصی استحقاقی ماه (ساعت)</t>
  </si>
  <si>
    <t>خالص با مرخصی</t>
  </si>
  <si>
    <t>شب کاری (ساعت)</t>
  </si>
  <si>
    <t>جمعه کاری (ساعت)</t>
  </si>
  <si>
    <t>تعطیل کاری (ساعت)</t>
  </si>
  <si>
    <t>کسر ساعت ناهار و نماز و...</t>
  </si>
  <si>
    <t>خالص کارکرد (ساعت)</t>
  </si>
  <si>
    <t>اضافه کار (ساعت)</t>
  </si>
  <si>
    <t>کسرکار (ساعت)</t>
  </si>
  <si>
    <t>مزد ثابت</t>
  </si>
  <si>
    <t>پایه سنوات تجمیعی</t>
  </si>
  <si>
    <t>مزد روزانه</t>
  </si>
  <si>
    <t>مزد ساعتی</t>
  </si>
  <si>
    <t>حقوق پایه</t>
  </si>
  <si>
    <t>نسبت کارکرد</t>
  </si>
  <si>
    <t>حق مسکن</t>
  </si>
  <si>
    <t>بن کارگری</t>
  </si>
  <si>
    <t>تعداد اولاد مشمول</t>
  </si>
  <si>
    <t>پاداش افزایش تولید</t>
  </si>
  <si>
    <t>سایر مزایا</t>
  </si>
  <si>
    <t>جریمه</t>
  </si>
  <si>
    <t>وام</t>
  </si>
  <si>
    <t>مساعده</t>
  </si>
  <si>
    <t>سایر کسورات</t>
  </si>
  <si>
    <t>شماره حساب/کارت</t>
  </si>
  <si>
    <t>توضیحات فیش حقوقی</t>
  </si>
  <si>
    <t>محمد</t>
  </si>
  <si>
    <t>احمدي مكي آبادي</t>
  </si>
  <si>
    <t>عملیات معدنی</t>
  </si>
  <si>
    <t>ابراهيم</t>
  </si>
  <si>
    <t>باستاني راد</t>
  </si>
  <si>
    <t>پروژه</t>
  </si>
  <si>
    <t>عليرضا</t>
  </si>
  <si>
    <t>رادفر</t>
  </si>
  <si>
    <t>حقوقی</t>
  </si>
  <si>
    <t xml:space="preserve">غلامعباس </t>
  </si>
  <si>
    <t xml:space="preserve">حافظي قهستاني </t>
  </si>
  <si>
    <t>علي</t>
  </si>
  <si>
    <t>خواجوئي  قرايي</t>
  </si>
  <si>
    <t>کارکرد خالص (ساعت)</t>
  </si>
  <si>
    <t>فوق العاده اضافه کاری</t>
  </si>
  <si>
    <t>فوق العاده شبکاری</t>
  </si>
  <si>
    <t>فوق العاده جمعه کاری</t>
  </si>
  <si>
    <t>فوق العاده تعطیل کاری</t>
  </si>
  <si>
    <t>حق اولاد</t>
  </si>
  <si>
    <t>سابقه (ماه)</t>
  </si>
  <si>
    <t>حق سنوات</t>
  </si>
  <si>
    <t>عیدی و پاداش</t>
  </si>
  <si>
    <t>مجموع پرداختی</t>
  </si>
  <si>
    <t>کسرکار</t>
  </si>
  <si>
    <t>مشمول مالیات</t>
  </si>
  <si>
    <t>مالیات متعلق</t>
  </si>
  <si>
    <t>مشمول بیمه</t>
  </si>
  <si>
    <t>بیمه سهم کارگر(7%)</t>
  </si>
  <si>
    <t>بیمه سهم کارفرما (20%)</t>
  </si>
  <si>
    <t>بیمه بیکاری (3%)</t>
  </si>
  <si>
    <t>مجموع کسورات</t>
  </si>
  <si>
    <t>خالص پرداختی</t>
  </si>
  <si>
    <t>کد پرسنلی</t>
  </si>
  <si>
    <t>مشاهده فیش دلخواه</t>
  </si>
  <si>
    <t>اضافه کاری (ساعت)</t>
  </si>
  <si>
    <t>شبکاری (ساعت)</t>
  </si>
  <si>
    <t>مانده مرخصی ماه (روز)</t>
  </si>
  <si>
    <t>حقوق روزانه</t>
  </si>
  <si>
    <t xml:space="preserve">فوق العاده اضافه کاری </t>
  </si>
  <si>
    <t xml:space="preserve">حق مسکن </t>
  </si>
  <si>
    <t xml:space="preserve">حق اولاد </t>
  </si>
  <si>
    <t>بن و خواروبار</t>
  </si>
  <si>
    <t>کسر کار</t>
  </si>
  <si>
    <t>بیمه سهم کارگر</t>
  </si>
  <si>
    <t xml:space="preserve">سایر مزایا </t>
  </si>
  <si>
    <t>جمع پرداختها</t>
  </si>
  <si>
    <t>جمع کسورات</t>
  </si>
  <si>
    <t>خالص قابل پرداخت</t>
  </si>
  <si>
    <t>:توضیحات</t>
  </si>
  <si>
    <t>امضای کارفرما</t>
  </si>
  <si>
    <t>امضای کارگر</t>
  </si>
  <si>
    <t>:شماره حساب</t>
  </si>
  <si>
    <t>نام:</t>
  </si>
  <si>
    <t>شرکت البزر ایرانیان</t>
  </si>
  <si>
    <t>سقف معافیت ماهانه</t>
  </si>
  <si>
    <t>حداقل حقوق ثابت</t>
  </si>
  <si>
    <t>سقف معافیت ماهانه (پله اول)</t>
  </si>
  <si>
    <t>سقف معافیت ماهانه (پله دوم)</t>
  </si>
  <si>
    <t>سقف معافیت ماهانه (پله سوم)</t>
  </si>
  <si>
    <t>طول ساعت کاری</t>
  </si>
  <si>
    <t>نرخ جمعه کاری</t>
  </si>
  <si>
    <t>مرخصی استحقاقی ماه</t>
  </si>
  <si>
    <t>ماه</t>
  </si>
  <si>
    <t>روزهای ماه</t>
  </si>
  <si>
    <t>تعداد جمعه‌ها</t>
  </si>
  <si>
    <t>تعداد تعطیلات رسمی غیر از جمعه</t>
  </si>
  <si>
    <t>تعداد روز کاری</t>
  </si>
  <si>
    <t>ساعت کار موظفی</t>
  </si>
  <si>
    <t>فروردین</t>
  </si>
  <si>
    <t>اردیبهشت</t>
  </si>
  <si>
    <t>خرداد</t>
  </si>
  <si>
    <t>مرداد</t>
  </si>
  <si>
    <t>شهریور</t>
  </si>
  <si>
    <t>مهر</t>
  </si>
  <si>
    <t>آبان</t>
  </si>
  <si>
    <t>آذر</t>
  </si>
  <si>
    <t>دی</t>
  </si>
  <si>
    <t>بهمن</t>
  </si>
  <si>
    <t>اسفند</t>
  </si>
  <si>
    <t>سابقه</t>
  </si>
  <si>
    <t>در نسخه کامل</t>
  </si>
  <si>
    <t>برای فعالسازی فایل، لطفا گزینه Enable Editing را کلیک کنید.</t>
  </si>
  <si>
    <t>نسخه دمو</t>
  </si>
  <si>
    <t>ویژگی ها</t>
  </si>
  <si>
    <t>محاسبه حق مسکن</t>
  </si>
  <si>
    <t>محاسبه بن کارگری</t>
  </si>
  <si>
    <t>محاسبه حق اولاد</t>
  </si>
  <si>
    <t>آیتم پاداش افزایش تولید</t>
  </si>
  <si>
    <t>آیتم جریمه/ وام/ مساعده</t>
  </si>
  <si>
    <t>محاسبه مرخصی استحقاقی</t>
  </si>
  <si>
    <t>محاسبه پایه سنوات تجمیعی</t>
  </si>
  <si>
    <t>محاسبه مزد روزانه</t>
  </si>
  <si>
    <t>محاسبه مزد ساعتی</t>
  </si>
  <si>
    <t>نامحدود</t>
  </si>
  <si>
    <t>5 پرسنل</t>
  </si>
  <si>
    <t>محاسبه عیدی و پاداش</t>
  </si>
  <si>
    <t>محاسبه حق سنوات</t>
  </si>
  <si>
    <r>
      <t xml:space="preserve">محاسبه </t>
    </r>
    <r>
      <rPr>
        <b/>
        <sz val="11"/>
        <color theme="1"/>
        <rFont val="IRANYekanFN"/>
        <family val="2"/>
      </rPr>
      <t>مانده</t>
    </r>
    <r>
      <rPr>
        <sz val="11"/>
        <color theme="1"/>
        <rFont val="IRANYekanFN"/>
        <family val="2"/>
      </rPr>
      <t xml:space="preserve"> مرخصی استحقاقی</t>
    </r>
  </si>
  <si>
    <t>محاسبه مالیات (طبق جدول پلکانی)</t>
  </si>
  <si>
    <t>محاسبه حق بیمه (به تفکیک درصد)</t>
  </si>
  <si>
    <t>پرینت اتوماتیک فیش حقوقی بصورت گروهی</t>
  </si>
  <si>
    <t>محاسبه شب کاری/ جمعه کاری/تعطیل کاری</t>
  </si>
  <si>
    <t>بروزرسانی رایگان (طبق قانون کار)</t>
  </si>
  <si>
    <t>سفارشی سازی مطابق نیاز کسب و کار شما</t>
  </si>
  <si>
    <t>پشتیبانی (24 ساعته)</t>
  </si>
  <si>
    <t>در این شیت میتوانید اطلاعات خام پرسنل را وارد کنید.</t>
  </si>
  <si>
    <t>دسترسی سریع به فیش حقوقی</t>
  </si>
  <si>
    <t xml:space="preserve"> نسخه کامل</t>
  </si>
  <si>
    <t>● امکان مشاهده و پرینت دسته جمعی فیش حقوقی پرسنل.
● امکان پرینت بروی برگه A5 برای صرفه جویی در مصرف کاغذ.
● صرفه جویی در مصرف جوهر پرینتر با طراحی سیاه و سفید (در عین شکیل بودن ظاهر فیش).
● امکان افزودن ردیف های جدید در فیش حقوقی (سفارشی).
● امکان درج توضیحات و شماره حساب پرسنل.
● امکان امضای کارفرما و کارگر بصورت اختصاصی برای هر پرسنل.
● امکان دسترسی سریع به فیش حقوقی مورد نظر.
● امکان درج اختصاصی نام شرکت و لوگو در فیش حقوقی.</t>
  </si>
  <si>
    <t>محاسبه معافیت دوهفتم بیمه در مالیات</t>
  </si>
  <si>
    <t>سقف تعداد پرسنل</t>
  </si>
  <si>
    <t>اینجا میتوانید اطلاعات خامی را که در مرحله قبل وارد کردید، بصورت محاسبه شده ببینید؛
این شیت صرفا جنبه گزارش دهی دارد. به هیج وجه اعداد اون رو تغییر ندید.</t>
  </si>
  <si>
    <r>
      <t xml:space="preserve">سلام به همه همراهان گرامی؛ 
محمدی هستم پشتیبان فایل اکسل محاسبه حقوق دستمزد 
ممنون ازینکه نسخه دمو فایل اکسل محاسبه حقوق دستمزد ایلیاسیستم رو دانلود کردید.
پاسخگوی سوالات شما در این زمینه هستم. </t>
    </r>
    <r>
      <rPr>
        <b/>
        <sz val="12"/>
        <color theme="1"/>
        <rFont val="IRANYekanFN"/>
        <family val="2"/>
      </rPr>
      <t>09154854253</t>
    </r>
    <r>
      <rPr>
        <sz val="12"/>
        <color theme="1"/>
        <rFont val="IRANYekanFN"/>
        <family val="2"/>
      </rPr>
      <t xml:space="preserve"> (محمدی)
شما در حال حاضر در حال استفاده از </t>
    </r>
    <r>
      <rPr>
        <b/>
        <sz val="12"/>
        <color rgb="FF0070C0"/>
        <rFont val="IRANYekanFN"/>
        <family val="2"/>
      </rPr>
      <t>نسخه دمو</t>
    </r>
    <r>
      <rPr>
        <sz val="12"/>
        <color theme="1"/>
        <rFont val="IRANYekanFN"/>
        <family val="2"/>
      </rPr>
      <t xml:space="preserve"> فایل اکسل محاسبه حقوق دستمزد هستید که امکاناتی مانند: مشاهده لیست حقوق دستمزد</t>
    </r>
    <r>
      <rPr>
        <b/>
        <sz val="12"/>
        <color rgb="FF0070C0"/>
        <rFont val="IRANYekanFN"/>
        <family val="2"/>
      </rPr>
      <t xml:space="preserve">، </t>
    </r>
    <r>
      <rPr>
        <b/>
        <sz val="12"/>
        <rFont val="IRANYekanFN"/>
        <family val="2"/>
      </rPr>
      <t>محاسبه حقوق 5 پرسنل</t>
    </r>
    <r>
      <rPr>
        <b/>
        <sz val="12"/>
        <color rgb="FF0070C0"/>
        <rFont val="IRANYekanFN"/>
        <family val="2"/>
      </rPr>
      <t>،</t>
    </r>
    <r>
      <rPr>
        <sz val="12"/>
        <color theme="1"/>
        <rFont val="IRANYekanFN"/>
        <family val="2"/>
      </rPr>
      <t xml:space="preserve"> </t>
    </r>
    <r>
      <rPr>
        <b/>
        <sz val="12"/>
        <color theme="1"/>
        <rFont val="IRANYekanFN"/>
        <family val="2"/>
      </rPr>
      <t>محاسبه اضافه کاری</t>
    </r>
    <r>
      <rPr>
        <sz val="12"/>
        <color theme="1"/>
        <rFont val="IRANYekanFN"/>
        <family val="2"/>
      </rPr>
      <t xml:space="preserve"> و </t>
    </r>
    <r>
      <rPr>
        <b/>
        <sz val="12"/>
        <color theme="1"/>
        <rFont val="IRANYekanFN"/>
        <family val="2"/>
      </rPr>
      <t>کسری کار</t>
    </r>
    <r>
      <rPr>
        <sz val="12"/>
        <color theme="1"/>
        <rFont val="IRANYekanFN"/>
        <family val="2"/>
      </rPr>
      <t xml:space="preserve"> و... در خودش داره.
جهت دریافت نسخه کامل و بدون محدودیت با امکانات استثنایی مانند: </t>
    </r>
    <r>
      <rPr>
        <b/>
        <sz val="12"/>
        <color theme="1"/>
        <rFont val="IRANYekanFN"/>
        <family val="2"/>
      </rPr>
      <t>محاسبه مرخصی و مانده مرخصی</t>
    </r>
    <r>
      <rPr>
        <sz val="12"/>
        <color theme="1"/>
        <rFont val="IRANYekanFN"/>
        <family val="2"/>
      </rPr>
      <t xml:space="preserve">، </t>
    </r>
    <r>
      <rPr>
        <b/>
        <sz val="12"/>
        <color theme="1"/>
        <rFont val="IRANYekanFN"/>
        <family val="2"/>
      </rPr>
      <t>محاسبه عیدی بصورت سالانه ماهانه ، دریافت و پرینت فیش حقوقی</t>
    </r>
    <r>
      <rPr>
        <sz val="12"/>
        <color theme="1"/>
        <rFont val="IRANYekanFN"/>
        <family val="2"/>
      </rPr>
      <t xml:space="preserve"> و... با شماره تلفن های مقابل تماس حاصل فرمایید:</t>
    </r>
    <r>
      <rPr>
        <b/>
        <sz val="14"/>
        <color rgb="FF0070C0"/>
        <rFont val="IRANYekanFN"/>
        <family val="2"/>
      </rPr>
      <t xml:space="preserve"> 09154854253 (محمدی)  </t>
    </r>
  </si>
  <si>
    <r>
      <t xml:space="preserve">جهت دریافت نسخه کامل و بدون محدودیت با شماره های زیر تماس بگیرید:
</t>
    </r>
    <r>
      <rPr>
        <b/>
        <sz val="14"/>
        <color rgb="FF0070C0"/>
        <rFont val="IRANYekanFN"/>
        <family val="2"/>
      </rPr>
      <t>09154854253 (محمدی)</t>
    </r>
  </si>
  <si>
    <t>● بروزرسانی آسان اقلام حقوق دستمزد.
● تغییر دسته جمعی مبلغ حق مسکن و بن کارگری.
● تعیین دستی طول ساعت کاری مطابق نیاز کسب و کار شما.
● امکان تغییر نرخ جمعه کاری مطابق نیاز کسب و کار شما.
● امکان تعریف ساعات مرخصی استحقاقی مجاز کارکنان در طول ماه.
● امکان تعریف جدول موظفی کارکنان برای محاسبه دقیق حقوق دستمزد.
● امکان تغییر پله های مالیاتی ( افزایش، کاهش و یا تغییر مبالغ) 
● لازم به ذکر است تغییرات شما به طور اتوماتیک در فرمول ها صورت میگیرد. و نیازی به تغییر مجدد ندارید.</t>
  </si>
  <si>
    <r>
      <t xml:space="preserve">جهت دریافت نسخه کامل و بدون محدودیت با شماره زیر تماس بگیرید:
</t>
    </r>
    <r>
      <rPr>
        <b/>
        <sz val="12"/>
        <color rgb="FF0070C0"/>
        <rFont val="IRANYekanFN"/>
        <family val="2"/>
      </rPr>
      <t>09154854253 (محمدی)</t>
    </r>
  </si>
  <si>
    <t>این فایل توسط شرکت ایلیاسیستم طراحی شده و حقوق مادی و معنوی آن متعلق به ایلیاسیستم است.
اگر این فایل را از منبعی غیر از ایلیا سیستم دریافت کرده اید، لطفا با شماره های ذکر شده تماس بگیرید</t>
  </si>
  <si>
    <t>ثبت نامحدود پرسنل</t>
  </si>
  <si>
    <t>پشتیبانی رایگان و مادام العمر</t>
  </si>
  <si>
    <t>امکان تعریف شماره پرسنلی برای هرفرد</t>
  </si>
  <si>
    <t>امکان تعریف شماره پرسنلی برای هر نیرو</t>
  </si>
  <si>
    <t>امکان ثبت روز های کارکرد مختلف</t>
  </si>
  <si>
    <t>تغییر مبلغ حق مسکن و بن کارگری در صورت کسرکار (روز)</t>
  </si>
  <si>
    <t>ثبت کارکرد ساعت برای هر نیرو بر مبنای ساعت کار موفظی</t>
  </si>
  <si>
    <t>ثبت مرخصی استحقاقی</t>
  </si>
  <si>
    <t>امکان تنظیم سفارشی مبنای مرخصی استحقاقی به جای 18:20</t>
  </si>
  <si>
    <t>نمایش مانده مرخصی ماهانه بروی لیست حقوق و فیش حقوقی</t>
  </si>
  <si>
    <t>امکان ثبت شبکاری، جمعه کاری، تعطیل کاری بصورت قانونی با درصد های مختلف</t>
  </si>
  <si>
    <t>محاسبه عیدی و پاداش و حق سنوات</t>
  </si>
  <si>
    <t>امکان افزودن شیفت های کاری طبق ساعات و درصد های قانونی یا سفارشی</t>
  </si>
  <si>
    <t>محاسبه اضافه کاری و کسرکاری بصورت اتوماتیک (مبنای ساعات کار موفظی)</t>
  </si>
  <si>
    <t>امکان سفارشی سازی جدول کارکرد موفظی بصورت یکپارچه</t>
  </si>
  <si>
    <t>امکان ثبت پایه سنوات برای نیرو های با سابقه بیش از یکسال</t>
  </si>
  <si>
    <t>محاسبه اتوماتیک مزد روزانه، مزد ساعتی به جهت اطلاع کارفرما و نیرو</t>
  </si>
  <si>
    <t>محاسبه اتوماتیک حقوق پایه (طبق داده های وارد شده)</t>
  </si>
  <si>
    <t>امکان ثبت تعداد اولاد برای محاسبه حق اولاد</t>
  </si>
  <si>
    <t>امکان تعیین نحوه پرداخت حق سنوات و عیدی پاداش (ماهانه، سه ماهه، پایان سال و...)</t>
  </si>
  <si>
    <t>وجود داشتن آیتم های مختلفی از مزایا و کسورات به جهت سهولت کار</t>
  </si>
  <si>
    <t>محاسبه مالیات مشمول و مالیات متعلقه طبق پله های مالیاتی 1401</t>
  </si>
  <si>
    <t>محاسبه بیمه مشمول، بیمه سهم کارگر و بیمه سهم کارفرما</t>
  </si>
  <si>
    <t>محاسبه معافیت دو هفتم بیمه در مالیات</t>
  </si>
  <si>
    <t>محاسبه مجموع کسورات و مجموع مزایای پرداختی بصورت تفکیک شده به جهت محاسبه دقیق حقوق قابل پرداخت</t>
  </si>
  <si>
    <t>امکان تغییر پله های مالیاتی در صورت تغییر قوانین سال آینده</t>
  </si>
  <si>
    <t>امکان تغییر رقم حق مسکن و بن کارگری در صورت تغییر قوانین سال آینده</t>
  </si>
  <si>
    <t>امکان سفارشی سازی فیش حقوقی با ثبت نام شرکت در شیت تنظیمات</t>
  </si>
  <si>
    <t>امکان تغییر مزد ثابت روزانه و مرخصی استحقاقی در شیت تنظیمات در صورتی که مجموعه شما طبق قانون کار فعالیت نداشته باشد.</t>
  </si>
  <si>
    <t>امکان تغییر نرخ جمعه کاری.</t>
  </si>
  <si>
    <t>امکان انجام توسعه های اختصاصی</t>
  </si>
  <si>
    <t>امکان سفارشی سازی جدول کارکرد موفظی</t>
  </si>
  <si>
    <t>امکان دریافت فیش حقوقی به ازای هر کارگر به راحتی ممکن</t>
  </si>
  <si>
    <t>نمایش اطلاعات در فیش حقوقی تنها با وارد کردن شماره پرسنلی</t>
  </si>
  <si>
    <t>قرارداشتن بخش امضای کارگر و کارفرما</t>
  </si>
  <si>
    <t>امکان پرینت فیش حقوقی بصورت گروهی در برگه A4</t>
  </si>
  <si>
    <t>استفاده از ترکیب رنگ مناسب (سفید، خاکستری، سیاه) در فیش حقوقی به جهت بهینه شدن مصرف پرینتر</t>
  </si>
  <si>
    <t>امکان اتصال تایم شیت اکسل حقوق دستمزد</t>
  </si>
  <si>
    <t>امکانات برتر</t>
  </si>
  <si>
    <t>به بازارچه ایلیاسیستم خوش آمدید</t>
  </si>
  <si>
    <t>لینک ورود به فروشگاه</t>
  </si>
  <si>
    <t>https://iliasystem.shop/Search-Products/category/4/Workers_wages_in_Excel</t>
  </si>
  <si>
    <t>سقف معافیت ماهانه (پله چهارم)</t>
  </si>
  <si>
    <t>سقف چهارم</t>
  </si>
  <si>
    <t>مازاد بر 340000001</t>
  </si>
  <si>
    <t>https://iliasystem.shop/product/52/specialized-financial-financial-advice</t>
  </si>
  <si>
    <t>مشاوره مالی/مالیاتی/حقوق دستمزد</t>
  </si>
  <si>
    <t>جدول معافیت های مالیاتی 1402:</t>
  </si>
  <si>
    <t>اطلاعات کلی 1402:</t>
  </si>
  <si>
    <t>جدول کارکرد موظفی 1402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</si>
</sst>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_);_(* \(#,##0\);_(* &quot;-&quot;??_);_(@_)"/>
    <numFmt numFmtId="165" formatCode="[$-1000000]hh:mm;@"/>
    <numFmt numFmtId="166" formatCode="[$-1000000][hh]:mm;@"/>
    <numFmt numFmtId="167" formatCode="[$-1000000][hh]:mm;[Red]&quot;0&quot;;[Red]&quot;0&quot;"/>
    <numFmt numFmtId="168" formatCode="[$-1000000][hh]:mm;&quot;در نسخه کامل&quot;;&quot;در نسخه کامل&quot;"/>
  </numFmts>
  <fonts count="31">
    <font>
      <sz val="11"/>
      <color theme="1"/>
      <name val="Calibri"/>
      <family val="2"/>
      <scheme val="minor"/>
    </font>
    <font>
      <sz val="11"/>
      <color theme="1"/>
      <name val="B Nazanin"/>
      <charset val="178"/>
    </font>
    <font>
      <sz val="11"/>
      <color rgb="FF000000"/>
      <name val="B Nazanin"/>
      <charset val="178"/>
    </font>
    <font>
      <sz val="11"/>
      <color theme="1"/>
      <name val="Calibri"/>
      <family val="2"/>
      <scheme val="minor"/>
    </font>
    <font>
      <b/>
      <sz val="9"/>
      <color indexed="81"/>
      <name val="Tahoma"/>
      <family val="2"/>
    </font>
    <font>
      <sz val="11"/>
      <color theme="1"/>
      <name val="Calibri"/>
      <family val="2"/>
      <charset val="178"/>
      <scheme val="minor"/>
    </font>
    <font>
      <sz val="10"/>
      <color theme="1"/>
      <name val="B Compset"/>
      <charset val="178"/>
    </font>
    <font>
      <sz val="10"/>
      <color theme="0"/>
      <name val="B Compset"/>
      <charset val="178"/>
    </font>
    <font>
      <sz val="10"/>
      <color theme="1"/>
      <name val="B Nazanin"/>
      <charset val="178"/>
    </font>
    <font>
      <sz val="10"/>
      <color theme="1"/>
      <name val="Calibri"/>
      <family val="2"/>
      <charset val="178"/>
      <scheme val="minor"/>
    </font>
    <font>
      <b/>
      <sz val="10"/>
      <color theme="1"/>
      <name val="B Nazanin"/>
      <charset val="178"/>
    </font>
    <font>
      <sz val="11"/>
      <color theme="1"/>
      <name val="B Compset"/>
      <charset val="178"/>
    </font>
    <font>
      <sz val="11"/>
      <color theme="0"/>
      <name val="B Nazanin"/>
      <charset val="178"/>
    </font>
    <font>
      <b/>
      <sz val="11"/>
      <color theme="1"/>
      <name val="B Nazanin"/>
      <charset val="178"/>
    </font>
    <font>
      <b/>
      <sz val="11"/>
      <name val="B Nazanin"/>
      <charset val="178"/>
    </font>
    <font>
      <sz val="18"/>
      <color theme="1"/>
      <name val="IRANYekanFN"/>
      <family val="2"/>
    </font>
    <font>
      <sz val="11"/>
      <color theme="1"/>
      <name val="IRANYekanFN"/>
      <family val="2"/>
    </font>
    <font>
      <sz val="14"/>
      <color theme="1"/>
      <name val="IRANYekanFN"/>
      <family val="2"/>
    </font>
    <font>
      <sz val="12"/>
      <color theme="1"/>
      <name val="IRANYekanFN"/>
      <family val="2"/>
    </font>
    <font>
      <b/>
      <sz val="12"/>
      <color theme="1"/>
      <name val="IRANYekanFN"/>
      <family val="2"/>
    </font>
    <font>
      <b/>
      <sz val="12"/>
      <color rgb="FF0070C0"/>
      <name val="IRANYekanFN"/>
      <family val="2"/>
    </font>
    <font>
      <b/>
      <sz val="14"/>
      <color rgb="FF0070C0"/>
      <name val="IRANYekanFN"/>
      <family val="2"/>
    </font>
    <font>
      <b/>
      <sz val="12"/>
      <name val="IRANYekanFN"/>
      <family val="2"/>
    </font>
    <font>
      <b/>
      <sz val="11"/>
      <color theme="1"/>
      <name val="IRANYekanFN"/>
      <family val="2"/>
    </font>
    <font>
      <b/>
      <sz val="14"/>
      <color theme="1"/>
      <name val="IRANYekanFN"/>
      <family val="2"/>
    </font>
    <font>
      <b/>
      <sz val="11"/>
      <color theme="1"/>
      <name val="Sahel"/>
      <family val="2"/>
    </font>
    <font>
      <b/>
      <sz val="11"/>
      <color theme="0"/>
      <name val="IRANYekanFN"/>
      <family val="2"/>
    </font>
    <font>
      <sz val="11"/>
      <name val="IRANYekanFN"/>
      <family val="2"/>
    </font>
    <font>
      <sz val="14"/>
      <color theme="0"/>
      <name val="IRANYekanFN"/>
      <family val="2"/>
    </font>
    <font>
      <sz val="16"/>
      <color theme="1"/>
      <name val="IRANYekanFN"/>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theme="4" tint="0.79998168889431442"/>
      </patternFill>
    </fill>
    <fill>
      <patternFill patternType="solid">
        <fgColor theme="0"/>
        <bgColor indexed="64"/>
      </patternFill>
    </fill>
    <fill>
      <patternFill patternType="solid">
        <fgColor rgb="FFFFFF00"/>
        <bgColor indexed="64"/>
      </patternFill>
    </fill>
    <fill>
      <patternFill patternType="solid">
        <fgColor rgb="FFFFFF00"/>
        <bgColor theme="4" tint="0.79998168889431442"/>
      </patternFill>
    </fill>
    <fill>
      <patternFill patternType="solid">
        <fgColor rgb="FFFF7C8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top/>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medium">
        <color indexed="64"/>
      </bottom>
      <diagonal/>
    </border>
    <border>
      <left style="thin">
        <color theme="0" tint="-0.499984740745262"/>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s>
  <cellStyleXfs count="5">
    <xf numFmtId="0" fontId="0" fillId="0" borderId="0"/>
    <xf numFmtId="43" fontId="3" fillId="0" borderId="0" applyFont="0" applyFill="0" applyBorder="0" applyAlignment="0" applyProtection="0"/>
    <xf numFmtId="0" fontId="5" fillId="0" borderId="0"/>
    <xf numFmtId="9" fontId="3" fillId="0" borderId="0" applyFont="0" applyFill="0" applyBorder="0" applyAlignment="0" applyProtection="0"/>
    <xf numFmtId="0" fontId="30" fillId="0" borderId="0" applyNumberFormat="0" applyFill="0" applyBorder="0" applyAlignment="0" applyProtection="0"/>
  </cellStyleXfs>
  <cellXfs count="194">
    <xf numFmtId="0" fontId="0" fillId="0" borderId="0" xfId="0"/>
    <xf numFmtId="0" fontId="1" fillId="2" borderId="1" xfId="0" applyFont="1" applyFill="1" applyBorder="1" applyAlignment="1" applyProtection="1">
      <alignment horizontal="center" vertical="center"/>
      <protection locked="0" hidden="1"/>
    </xf>
    <xf numFmtId="166" fontId="1" fillId="0" borderId="1" xfId="0" applyNumberFormat="1" applyFont="1" applyBorder="1" applyAlignment="1" applyProtection="1">
      <alignment horizontal="center" vertical="center"/>
      <protection locked="0" hidden="1"/>
    </xf>
    <xf numFmtId="166" fontId="1" fillId="2" borderId="1" xfId="0" applyNumberFormat="1" applyFont="1" applyFill="1" applyBorder="1" applyAlignment="1" applyProtection="1">
      <alignment horizontal="center" vertical="center"/>
      <protection locked="0" hidden="1"/>
    </xf>
    <xf numFmtId="165" fontId="1" fillId="2" borderId="1" xfId="0" applyNumberFormat="1" applyFont="1" applyFill="1" applyBorder="1" applyAlignment="1" applyProtection="1">
      <alignment horizontal="center" vertical="center"/>
      <protection locked="0" hidden="1"/>
    </xf>
    <xf numFmtId="164" fontId="1" fillId="2" borderId="1" xfId="1" applyNumberFormat="1" applyFont="1" applyFill="1" applyBorder="1" applyAlignment="1" applyProtection="1">
      <alignment horizontal="center" vertical="center"/>
      <protection locked="0" hidden="1"/>
    </xf>
    <xf numFmtId="168" fontId="14" fillId="7" borderId="1" xfId="0" applyNumberFormat="1" applyFont="1" applyFill="1" applyBorder="1" applyAlignment="1" applyProtection="1">
      <alignment horizontal="center" vertical="center"/>
    </xf>
    <xf numFmtId="166" fontId="1" fillId="0" borderId="1"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protection locked="0"/>
    </xf>
    <xf numFmtId="0" fontId="1" fillId="2" borderId="1" xfId="0" applyFont="1" applyFill="1" applyBorder="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166" fontId="1" fillId="0" borderId="0" xfId="0" applyNumberFormat="1" applyFont="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8" fillId="0" borderId="0" xfId="0" applyFont="1" applyBorder="1" applyAlignment="1" applyProtection="1">
      <alignment vertical="center" wrapText="1"/>
      <protection locked="0"/>
    </xf>
    <xf numFmtId="0" fontId="1" fillId="0" borderId="0" xfId="0" applyFont="1" applyBorder="1" applyAlignment="1" applyProtection="1">
      <alignment horizontal="center" vertical="center"/>
      <protection locked="0"/>
    </xf>
    <xf numFmtId="164" fontId="14" fillId="7" borderId="0" xfId="1" applyNumberFormat="1" applyFont="1" applyFill="1" applyAlignment="1" applyProtection="1">
      <alignment horizontal="center" vertical="center"/>
    </xf>
    <xf numFmtId="0" fontId="1" fillId="0" borderId="19" xfId="0" applyFont="1" applyBorder="1" applyAlignment="1" applyProtection="1">
      <alignment horizontal="center" vertical="center"/>
    </xf>
    <xf numFmtId="0" fontId="1" fillId="0" borderId="31" xfId="0" applyFont="1" applyBorder="1" applyAlignment="1" applyProtection="1">
      <alignment horizontal="center" vertical="center"/>
    </xf>
    <xf numFmtId="0" fontId="18" fillId="0" borderId="19" xfId="0" applyFont="1" applyBorder="1" applyAlignment="1" applyProtection="1">
      <alignment vertical="center" wrapText="1"/>
    </xf>
    <xf numFmtId="0" fontId="25" fillId="0" borderId="31" xfId="0" applyFont="1" applyBorder="1" applyAlignment="1" applyProtection="1">
      <alignment horizontal="center" vertical="center" readingOrder="2"/>
    </xf>
    <xf numFmtId="0" fontId="1" fillId="0" borderId="34" xfId="0" applyFont="1" applyBorder="1" applyAlignment="1" applyProtection="1">
      <alignment horizontal="center" vertical="center"/>
    </xf>
    <xf numFmtId="0" fontId="25" fillId="0" borderId="35" xfId="0" applyFont="1" applyBorder="1" applyAlignment="1" applyProtection="1">
      <alignment horizontal="center" vertical="center" readingOrder="2"/>
    </xf>
    <xf numFmtId="0" fontId="0" fillId="0" borderId="0" xfId="0" applyAlignment="1" applyProtection="1">
      <alignment horizontal="center" vertical="center"/>
    </xf>
    <xf numFmtId="0" fontId="0" fillId="0" borderId="0" xfId="0" applyProtection="1"/>
    <xf numFmtId="0" fontId="1" fillId="0" borderId="0" xfId="0" applyFont="1" applyAlignment="1" applyProtection="1">
      <alignment horizontal="center" vertical="center"/>
    </xf>
    <xf numFmtId="0" fontId="1" fillId="2" borderId="1" xfId="0" applyFont="1" applyFill="1" applyBorder="1" applyAlignment="1" applyProtection="1">
      <alignment horizontal="center" vertical="center"/>
    </xf>
    <xf numFmtId="164" fontId="1" fillId="0" borderId="1" xfId="1" applyNumberFormat="1" applyFont="1" applyBorder="1" applyAlignment="1" applyProtection="1">
      <alignment horizontal="center" vertical="center"/>
    </xf>
    <xf numFmtId="0" fontId="1" fillId="7" borderId="1" xfId="0" applyFont="1" applyFill="1" applyBorder="1" applyAlignment="1" applyProtection="1">
      <alignment horizontal="center" vertical="center"/>
    </xf>
    <xf numFmtId="9" fontId="1" fillId="8" borderId="1" xfId="3" applyFont="1" applyFill="1" applyBorder="1" applyAlignment="1" applyProtection="1">
      <alignment horizontal="center" vertical="center"/>
    </xf>
    <xf numFmtId="166" fontId="1" fillId="8" borderId="1" xfId="0" applyNumberFormat="1" applyFont="1" applyFill="1" applyBorder="1" applyAlignment="1" applyProtection="1">
      <alignment horizontal="center" vertical="center"/>
    </xf>
    <xf numFmtId="0" fontId="1" fillId="2" borderId="5" xfId="0" applyFont="1" applyFill="1" applyBorder="1" applyAlignment="1" applyProtection="1">
      <alignment horizontal="center" vertical="center"/>
      <protection locked="0"/>
    </xf>
    <xf numFmtId="0" fontId="25" fillId="0" borderId="21" xfId="0" applyFont="1" applyBorder="1" applyAlignment="1" applyProtection="1">
      <alignment horizontal="center" vertical="center" readingOrder="2"/>
    </xf>
    <xf numFmtId="0" fontId="25" fillId="0" borderId="30" xfId="0" applyFont="1" applyBorder="1" applyAlignment="1" applyProtection="1">
      <alignment horizontal="center" vertical="center"/>
    </xf>
    <xf numFmtId="164" fontId="7" fillId="0" borderId="0" xfId="0" applyNumberFormat="1" applyFont="1" applyAlignment="1" applyProtection="1">
      <alignment vertical="center"/>
    </xf>
    <xf numFmtId="164" fontId="6" fillId="0" borderId="0" xfId="0" applyNumberFormat="1" applyFont="1" applyAlignment="1" applyProtection="1">
      <alignment vertical="center"/>
    </xf>
    <xf numFmtId="164" fontId="8" fillId="0" borderId="0" xfId="0" applyNumberFormat="1" applyFont="1" applyAlignment="1" applyProtection="1">
      <alignment horizontal="right" vertical="center"/>
    </xf>
    <xf numFmtId="164" fontId="9" fillId="0" borderId="0" xfId="0" applyNumberFormat="1" applyFont="1" applyAlignment="1" applyProtection="1">
      <alignment vertical="center"/>
    </xf>
    <xf numFmtId="164" fontId="10" fillId="0" borderId="0" xfId="0" applyNumberFormat="1" applyFont="1" applyAlignment="1" applyProtection="1">
      <alignment horizontal="right" vertical="center"/>
    </xf>
    <xf numFmtId="164" fontId="8" fillId="2" borderId="1" xfId="0" applyNumberFormat="1" applyFont="1" applyFill="1" applyBorder="1" applyAlignment="1" applyProtection="1">
      <alignment horizontal="right" vertical="center"/>
    </xf>
    <xf numFmtId="164" fontId="10" fillId="0" borderId="1" xfId="0" applyNumberFormat="1" applyFont="1" applyBorder="1" applyAlignment="1" applyProtection="1">
      <alignment horizontal="center" vertical="center"/>
    </xf>
    <xf numFmtId="1" fontId="10" fillId="0" borderId="1" xfId="0" applyNumberFormat="1" applyFont="1" applyBorder="1" applyAlignment="1" applyProtection="1">
      <alignment horizontal="center" vertical="center"/>
    </xf>
    <xf numFmtId="0" fontId="0" fillId="0" borderId="22" xfId="0" applyBorder="1" applyAlignment="1" applyProtection="1"/>
    <xf numFmtId="164" fontId="8" fillId="0" borderId="0" xfId="0" applyNumberFormat="1" applyFont="1" applyAlignment="1" applyProtection="1">
      <alignment vertical="center"/>
    </xf>
    <xf numFmtId="1" fontId="10" fillId="0" borderId="7" xfId="0" applyNumberFormat="1" applyFont="1" applyBorder="1" applyAlignment="1" applyProtection="1">
      <alignment horizontal="center" vertical="center"/>
    </xf>
    <xf numFmtId="0" fontId="0" fillId="0" borderId="24" xfId="0" applyBorder="1" applyAlignment="1" applyProtection="1"/>
    <xf numFmtId="166" fontId="1" fillId="5" borderId="1" xfId="0" applyNumberFormat="1" applyFont="1" applyFill="1" applyBorder="1" applyAlignment="1" applyProtection="1">
      <alignment horizontal="center" vertical="center"/>
    </xf>
    <xf numFmtId="3" fontId="8" fillId="0" borderId="1" xfId="1" applyNumberFormat="1" applyFont="1" applyBorder="1" applyAlignment="1" applyProtection="1">
      <alignment horizontal="center" vertical="center"/>
    </xf>
    <xf numFmtId="167" fontId="1" fillId="6" borderId="1" xfId="0" applyNumberFormat="1" applyFont="1" applyFill="1" applyBorder="1" applyAlignment="1" applyProtection="1">
      <alignment horizontal="center" vertical="center"/>
    </xf>
    <xf numFmtId="0" fontId="0" fillId="0" borderId="0" xfId="0" applyAlignment="1" applyProtection="1">
      <alignment vertical="center"/>
    </xf>
    <xf numFmtId="164" fontId="11" fillId="0" borderId="0" xfId="0" applyNumberFormat="1" applyFont="1" applyProtection="1"/>
    <xf numFmtId="38" fontId="8" fillId="0" borderId="1" xfId="1" applyNumberFormat="1" applyFont="1" applyBorder="1" applyAlignment="1" applyProtection="1">
      <alignment horizontal="center" vertical="center"/>
    </xf>
    <xf numFmtId="164" fontId="8" fillId="2" borderId="1" xfId="0" applyNumberFormat="1" applyFont="1" applyFill="1" applyBorder="1" applyAlignment="1" applyProtection="1">
      <alignment horizontal="right" vertical="center" readingOrder="2"/>
    </xf>
    <xf numFmtId="164" fontId="8" fillId="2" borderId="7" xfId="0" applyNumberFormat="1" applyFont="1" applyFill="1" applyBorder="1" applyAlignment="1" applyProtection="1">
      <alignment horizontal="right" vertical="center"/>
    </xf>
    <xf numFmtId="164" fontId="8" fillId="2" borderId="8" xfId="0" applyNumberFormat="1" applyFont="1" applyFill="1" applyBorder="1" applyAlignment="1" applyProtection="1">
      <alignment horizontal="right" vertical="center"/>
    </xf>
    <xf numFmtId="164" fontId="10" fillId="0" borderId="9" xfId="1" applyNumberFormat="1" applyFont="1" applyBorder="1" applyAlignment="1" applyProtection="1">
      <alignment vertical="center"/>
    </xf>
    <xf numFmtId="164" fontId="10" fillId="0" borderId="0" xfId="1" applyNumberFormat="1" applyFont="1" applyBorder="1" applyAlignment="1" applyProtection="1">
      <alignment vertical="center"/>
    </xf>
    <xf numFmtId="37" fontId="10" fillId="0" borderId="0" xfId="1" applyNumberFormat="1" applyFont="1" applyFill="1" applyBorder="1" applyAlignment="1" applyProtection="1">
      <alignment vertical="center" readingOrder="2"/>
    </xf>
    <xf numFmtId="164" fontId="8" fillId="0" borderId="10" xfId="0" applyNumberFormat="1" applyFont="1" applyBorder="1" applyAlignment="1" applyProtection="1">
      <alignment vertical="center" readingOrder="2"/>
    </xf>
    <xf numFmtId="164" fontId="8" fillId="0" borderId="9" xfId="0" applyNumberFormat="1" applyFont="1" applyBorder="1" applyAlignment="1" applyProtection="1">
      <alignment vertical="center" readingOrder="2"/>
    </xf>
    <xf numFmtId="164" fontId="8" fillId="0" borderId="11" xfId="0" applyNumberFormat="1" applyFont="1" applyBorder="1" applyAlignment="1" applyProtection="1">
      <alignment horizontal="center" vertical="center" readingOrder="2"/>
    </xf>
    <xf numFmtId="164" fontId="8" fillId="0" borderId="12" xfId="0" applyNumberFormat="1" applyFont="1" applyBorder="1" applyAlignment="1" applyProtection="1">
      <alignment horizontal="center" vertical="center" readingOrder="2"/>
    </xf>
    <xf numFmtId="164" fontId="8" fillId="0" borderId="13" xfId="0" applyNumberFormat="1" applyFont="1" applyBorder="1" applyAlignment="1" applyProtection="1">
      <alignment horizontal="right" vertical="top" readingOrder="2"/>
    </xf>
    <xf numFmtId="164" fontId="8" fillId="0" borderId="14" xfId="0" applyNumberFormat="1" applyFont="1" applyBorder="1" applyAlignment="1" applyProtection="1">
      <alignment horizontal="right" vertical="top" readingOrder="2"/>
    </xf>
    <xf numFmtId="164" fontId="8" fillId="0" borderId="0" xfId="0" applyNumberFormat="1" applyFont="1" applyAlignment="1" applyProtection="1">
      <alignment horizontal="center" vertical="center" readingOrder="2"/>
    </xf>
    <xf numFmtId="164" fontId="8" fillId="0" borderId="14" xfId="0" applyNumberFormat="1" applyFont="1" applyBorder="1" applyAlignment="1" applyProtection="1">
      <alignment horizontal="center" vertical="center" readingOrder="2"/>
    </xf>
    <xf numFmtId="164" fontId="8" fillId="0" borderId="15" xfId="0" applyNumberFormat="1" applyFont="1" applyBorder="1" applyAlignment="1" applyProtection="1">
      <alignment horizontal="right" vertical="top" readingOrder="2"/>
    </xf>
    <xf numFmtId="164" fontId="8" fillId="0" borderId="16" xfId="0" applyNumberFormat="1" applyFont="1" applyBorder="1" applyAlignment="1" applyProtection="1">
      <alignment horizontal="right" vertical="top" readingOrder="2"/>
    </xf>
    <xf numFmtId="164" fontId="8" fillId="0" borderId="17" xfId="0" applyNumberFormat="1" applyFont="1" applyBorder="1" applyAlignment="1" applyProtection="1">
      <alignment horizontal="center" vertical="center" readingOrder="2"/>
    </xf>
    <xf numFmtId="164" fontId="8" fillId="0" borderId="16" xfId="0" applyNumberFormat="1" applyFont="1" applyBorder="1" applyAlignment="1" applyProtection="1">
      <alignment horizontal="center" vertical="center" readingOrder="2"/>
    </xf>
    <xf numFmtId="164" fontId="8" fillId="0" borderId="10" xfId="0" applyNumberFormat="1" applyFont="1" applyBorder="1" applyAlignment="1" applyProtection="1">
      <alignment vertical="center"/>
    </xf>
    <xf numFmtId="164" fontId="8" fillId="0" borderId="18" xfId="0" applyNumberFormat="1" applyFont="1" applyBorder="1" applyAlignment="1" applyProtection="1">
      <alignment vertical="center" readingOrder="2"/>
    </xf>
    <xf numFmtId="0" fontId="18" fillId="0" borderId="0" xfId="0" applyFont="1" applyAlignment="1" applyProtection="1">
      <alignment horizontal="center" vertical="center"/>
    </xf>
    <xf numFmtId="1" fontId="1" fillId="0" borderId="1" xfId="0" applyNumberFormat="1" applyFont="1" applyBorder="1" applyAlignment="1" applyProtection="1">
      <alignment horizontal="center" vertical="center"/>
      <protection locked="0"/>
    </xf>
    <xf numFmtId="0" fontId="18" fillId="0" borderId="0" xfId="0" applyFont="1" applyAlignment="1" applyProtection="1">
      <alignment vertical="center"/>
    </xf>
    <xf numFmtId="0" fontId="2" fillId="0" borderId="0" xfId="0" applyFont="1" applyAlignment="1" applyProtection="1">
      <alignment horizontal="center" vertical="center"/>
    </xf>
    <xf numFmtId="166" fontId="1" fillId="0" borderId="0" xfId="0" applyNumberFormat="1" applyFont="1" applyAlignment="1" applyProtection="1">
      <alignment horizontal="center" vertical="center"/>
    </xf>
    <xf numFmtId="164" fontId="1" fillId="0" borderId="0" xfId="1" applyNumberFormat="1" applyFont="1" applyAlignment="1" applyProtection="1">
      <alignment horizontal="center" vertical="center"/>
    </xf>
    <xf numFmtId="164" fontId="2" fillId="0" borderId="0" xfId="1" applyNumberFormat="1" applyFont="1" applyAlignment="1" applyProtection="1">
      <alignment horizontal="center" vertical="center"/>
    </xf>
    <xf numFmtId="0" fontId="12" fillId="4" borderId="1" xfId="0" applyFont="1" applyFill="1" applyBorder="1" applyAlignment="1" applyProtection="1">
      <alignment horizontal="center" vertical="center"/>
    </xf>
    <xf numFmtId="0" fontId="1" fillId="6" borderId="1" xfId="0" applyFont="1" applyFill="1" applyBorder="1" applyAlignment="1" applyProtection="1">
      <alignment horizontal="center" vertical="center"/>
    </xf>
    <xf numFmtId="9" fontId="1" fillId="0" borderId="1" xfId="3" applyFont="1" applyBorder="1" applyAlignment="1" applyProtection="1">
      <alignment horizontal="center" vertical="center"/>
    </xf>
    <xf numFmtId="0" fontId="0" fillId="0" borderId="0" xfId="0" applyAlignment="1" applyProtection="1">
      <alignment horizontal="right"/>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0" borderId="5" xfId="0" applyFont="1" applyBorder="1" applyAlignment="1" applyProtection="1">
      <alignment horizontal="center" vertical="center"/>
    </xf>
    <xf numFmtId="0" fontId="1" fillId="0" borderId="1" xfId="0" applyFont="1" applyBorder="1" applyAlignment="1" applyProtection="1">
      <alignment horizontal="center" vertical="center"/>
    </xf>
    <xf numFmtId="1" fontId="1" fillId="0" borderId="6" xfId="0" applyNumberFormat="1" applyFont="1" applyBorder="1" applyAlignment="1" applyProtection="1">
      <alignment horizontal="center" vertical="center"/>
    </xf>
    <xf numFmtId="0" fontId="0" fillId="0" borderId="0" xfId="0" applyAlignment="1" applyProtection="1"/>
    <xf numFmtId="1" fontId="1" fillId="2" borderId="6" xfId="0" applyNumberFormat="1" applyFont="1" applyFill="1" applyBorder="1" applyAlignment="1" applyProtection="1">
      <alignment horizontal="center" vertical="center"/>
    </xf>
    <xf numFmtId="0" fontId="16" fillId="0" borderId="0" xfId="0" applyFont="1" applyBorder="1" applyAlignment="1" applyProtection="1">
      <alignment vertical="top" wrapText="1" readingOrder="2"/>
    </xf>
    <xf numFmtId="0" fontId="27" fillId="0" borderId="0" xfId="0" applyFont="1" applyAlignment="1">
      <alignment horizontal="right"/>
    </xf>
    <xf numFmtId="0" fontId="27"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horizontal="center" vertical="center" wrapText="1"/>
    </xf>
    <xf numFmtId="0" fontId="27" fillId="0" borderId="0" xfId="0" applyFont="1" applyAlignment="1">
      <alignment horizontal="right" vertical="center" wrapText="1"/>
    </xf>
    <xf numFmtId="0" fontId="27" fillId="0" borderId="0" xfId="0" applyFont="1" applyAlignment="1">
      <alignment horizontal="right" wrapText="1"/>
    </xf>
    <xf numFmtId="0" fontId="0" fillId="0" borderId="0" xfId="0" applyAlignment="1">
      <alignment vertical="center" wrapText="1"/>
    </xf>
    <xf numFmtId="0" fontId="0" fillId="0" borderId="0" xfId="0" applyAlignment="1">
      <alignment vertical="center"/>
    </xf>
    <xf numFmtId="164" fontId="1" fillId="0" borderId="1" xfId="1" applyNumberFormat="1" applyFont="1" applyBorder="1" applyAlignment="1" applyProtection="1">
      <alignment horizontal="right" vertical="center"/>
    </xf>
    <xf numFmtId="0" fontId="16" fillId="0" borderId="33" xfId="0" applyFont="1" applyBorder="1" applyAlignment="1" applyProtection="1">
      <alignment horizontal="center" vertical="center"/>
    </xf>
    <xf numFmtId="0" fontId="16" fillId="0" borderId="34" xfId="0" applyFont="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32" xfId="0" applyFont="1" applyBorder="1" applyAlignment="1" applyProtection="1">
      <alignment horizontal="center" vertical="center"/>
    </xf>
    <xf numFmtId="0" fontId="16" fillId="0" borderId="20" xfId="0" applyFont="1" applyBorder="1" applyAlignment="1" applyProtection="1">
      <alignment horizontal="center" vertical="center"/>
    </xf>
    <xf numFmtId="0" fontId="17" fillId="0" borderId="27" xfId="0" applyFont="1" applyBorder="1" applyAlignment="1" applyProtection="1">
      <alignment horizontal="center" vertical="center"/>
    </xf>
    <xf numFmtId="0" fontId="17" fillId="0" borderId="38" xfId="0" applyFont="1" applyBorder="1" applyAlignment="1" applyProtection="1">
      <alignment horizontal="center" vertical="center"/>
    </xf>
    <xf numFmtId="0" fontId="24" fillId="7" borderId="28" xfId="0" applyFont="1" applyFill="1" applyBorder="1" applyAlignment="1" applyProtection="1">
      <alignment vertical="center"/>
    </xf>
    <xf numFmtId="0" fontId="24" fillId="7" borderId="39" xfId="0" applyFont="1" applyFill="1" applyBorder="1" applyAlignment="1" applyProtection="1">
      <alignment vertical="center"/>
    </xf>
    <xf numFmtId="0" fontId="24" fillId="0" borderId="25" xfId="0" applyFont="1" applyBorder="1" applyAlignment="1" applyProtection="1">
      <alignment horizontal="center" vertical="center"/>
    </xf>
    <xf numFmtId="0" fontId="24" fillId="0" borderId="26" xfId="0" applyFont="1" applyBorder="1" applyAlignment="1" applyProtection="1">
      <alignment horizontal="center" vertical="center"/>
    </xf>
    <xf numFmtId="0" fontId="24" fillId="0" borderId="33" xfId="0" applyFont="1" applyBorder="1" applyAlignment="1" applyProtection="1">
      <alignment horizontal="center" vertical="center"/>
    </xf>
    <xf numFmtId="0" fontId="24" fillId="0" borderId="34" xfId="0" applyFont="1" applyBorder="1" applyAlignment="1" applyProtection="1">
      <alignment horizontal="center" vertical="center"/>
    </xf>
    <xf numFmtId="0" fontId="16" fillId="0" borderId="37" xfId="0" applyFont="1" applyBorder="1" applyAlignment="1" applyProtection="1">
      <alignment horizontal="center" vertical="center"/>
    </xf>
    <xf numFmtId="0" fontId="16" fillId="0" borderId="21" xfId="0" applyFont="1" applyBorder="1" applyAlignment="1" applyProtection="1">
      <alignment horizontal="center" vertical="center"/>
    </xf>
    <xf numFmtId="0" fontId="15" fillId="0" borderId="0" xfId="0" applyFont="1" applyAlignment="1" applyProtection="1">
      <alignment horizontal="left" vertical="center"/>
    </xf>
    <xf numFmtId="0" fontId="16" fillId="0" borderId="29" xfId="0" applyFont="1" applyBorder="1" applyAlignment="1" applyProtection="1">
      <alignment horizontal="center" vertical="center" wrapText="1"/>
    </xf>
    <xf numFmtId="0" fontId="18" fillId="0" borderId="0" xfId="0" applyFont="1" applyAlignment="1" applyProtection="1">
      <alignment horizontal="center" vertical="center"/>
    </xf>
    <xf numFmtId="0" fontId="18" fillId="0" borderId="25" xfId="0" applyFont="1" applyBorder="1" applyAlignment="1" applyProtection="1">
      <alignment horizontal="right" vertical="center" wrapText="1"/>
    </xf>
    <xf numFmtId="0" fontId="18" fillId="0" borderId="26" xfId="0" applyFont="1" applyBorder="1" applyAlignment="1" applyProtection="1">
      <alignment horizontal="right" vertical="center" wrapText="1"/>
    </xf>
    <xf numFmtId="0" fontId="18" fillId="0" borderId="36" xfId="0" applyFont="1" applyBorder="1" applyAlignment="1" applyProtection="1">
      <alignment horizontal="right" vertical="center" wrapText="1"/>
    </xf>
    <xf numFmtId="0" fontId="18" fillId="0" borderId="29" xfId="0" applyFont="1" applyBorder="1" applyAlignment="1" applyProtection="1">
      <alignment horizontal="right" vertical="center" wrapText="1"/>
    </xf>
    <xf numFmtId="0" fontId="18" fillId="0" borderId="19" xfId="0" applyFont="1" applyBorder="1" applyAlignment="1" applyProtection="1">
      <alignment horizontal="right" vertical="center" wrapText="1"/>
    </xf>
    <xf numFmtId="0" fontId="18" fillId="0" borderId="31" xfId="0" applyFont="1" applyBorder="1" applyAlignment="1" applyProtection="1">
      <alignment horizontal="right" vertical="center" wrapText="1"/>
    </xf>
    <xf numFmtId="0" fontId="18" fillId="0" borderId="40" xfId="0" applyFont="1" applyBorder="1" applyAlignment="1" applyProtection="1">
      <alignment horizontal="right" vertical="center" wrapText="1"/>
    </xf>
    <xf numFmtId="0" fontId="18" fillId="0" borderId="41" xfId="0" applyFont="1" applyBorder="1" applyAlignment="1" applyProtection="1">
      <alignment horizontal="right" vertical="center" wrapText="1"/>
    </xf>
    <xf numFmtId="0" fontId="18" fillId="0" borderId="23" xfId="0" applyFont="1" applyBorder="1" applyAlignment="1" applyProtection="1">
      <alignment horizontal="center" vertical="center" wrapText="1"/>
    </xf>
    <xf numFmtId="0" fontId="18" fillId="0" borderId="11"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15" xfId="0" applyFont="1" applyBorder="1" applyAlignment="1" applyProtection="1">
      <alignment horizontal="center" vertical="center"/>
    </xf>
    <xf numFmtId="0" fontId="18" fillId="0" borderId="17" xfId="0" applyFont="1" applyBorder="1" applyAlignment="1" applyProtection="1">
      <alignment horizontal="center" vertical="center"/>
    </xf>
    <xf numFmtId="0" fontId="18" fillId="0" borderId="16" xfId="0" applyFont="1" applyBorder="1" applyAlignment="1" applyProtection="1">
      <alignment horizontal="center" vertical="center"/>
    </xf>
    <xf numFmtId="0" fontId="16" fillId="0" borderId="23"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23" xfId="0" applyFont="1" applyBorder="1" applyAlignment="1" applyProtection="1">
      <alignment horizontal="right" vertical="top" wrapText="1"/>
    </xf>
    <xf numFmtId="0" fontId="16" fillId="0" borderId="11" xfId="0" applyFont="1" applyBorder="1" applyAlignment="1" applyProtection="1">
      <alignment horizontal="right" vertical="top" wrapText="1"/>
    </xf>
    <xf numFmtId="0" fontId="16" fillId="0" borderId="12" xfId="0" applyFont="1" applyBorder="1" applyAlignment="1" applyProtection="1">
      <alignment horizontal="right" vertical="top" wrapText="1"/>
    </xf>
    <xf numFmtId="0" fontId="16" fillId="0" borderId="13" xfId="0" applyFont="1" applyBorder="1" applyAlignment="1" applyProtection="1">
      <alignment horizontal="right" vertical="top" wrapText="1"/>
    </xf>
    <xf numFmtId="0" fontId="16" fillId="0" borderId="0" xfId="0" applyFont="1" applyBorder="1" applyAlignment="1" applyProtection="1">
      <alignment horizontal="right" vertical="top" wrapText="1"/>
    </xf>
    <xf numFmtId="0" fontId="16" fillId="0" borderId="14" xfId="0" applyFont="1" applyBorder="1" applyAlignment="1" applyProtection="1">
      <alignment horizontal="right" vertical="top" wrapText="1"/>
    </xf>
    <xf numFmtId="0" fontId="16" fillId="0" borderId="15" xfId="0" applyFont="1" applyBorder="1" applyAlignment="1" applyProtection="1">
      <alignment horizontal="right" vertical="top" wrapText="1"/>
    </xf>
    <xf numFmtId="0" fontId="16" fillId="0" borderId="17" xfId="0" applyFont="1" applyBorder="1" applyAlignment="1" applyProtection="1">
      <alignment horizontal="right" vertical="top" wrapText="1"/>
    </xf>
    <xf numFmtId="0" fontId="16" fillId="0" borderId="16" xfId="0" applyFont="1" applyBorder="1" applyAlignment="1" applyProtection="1">
      <alignment horizontal="right" vertical="top" wrapText="1"/>
    </xf>
    <xf numFmtId="164" fontId="10" fillId="3" borderId="10" xfId="1" applyNumberFormat="1" applyFont="1" applyFill="1" applyBorder="1" applyAlignment="1" applyProtection="1">
      <alignment horizontal="center" vertical="center"/>
    </xf>
    <xf numFmtId="164" fontId="10" fillId="3" borderId="9" xfId="1" applyNumberFormat="1" applyFont="1" applyFill="1" applyBorder="1" applyAlignment="1" applyProtection="1">
      <alignment horizontal="center" vertical="center"/>
    </xf>
    <xf numFmtId="37" fontId="10" fillId="0" borderId="10" xfId="1" applyNumberFormat="1" applyFont="1" applyFill="1" applyBorder="1" applyAlignment="1" applyProtection="1">
      <alignment horizontal="center" vertical="center" readingOrder="2"/>
    </xf>
    <xf numFmtId="37" fontId="10" fillId="0" borderId="9" xfId="1" applyNumberFormat="1" applyFont="1" applyFill="1" applyBorder="1" applyAlignment="1" applyProtection="1">
      <alignment horizontal="center" vertical="center" readingOrder="2"/>
    </xf>
    <xf numFmtId="1" fontId="8" fillId="0" borderId="18" xfId="1" applyNumberFormat="1" applyFont="1" applyBorder="1" applyAlignment="1" applyProtection="1">
      <alignment horizontal="center" vertical="center" readingOrder="2"/>
    </xf>
    <xf numFmtId="1" fontId="8" fillId="0" borderId="9" xfId="1" applyNumberFormat="1" applyFont="1" applyBorder="1" applyAlignment="1" applyProtection="1">
      <alignment horizontal="center" vertical="center" readingOrder="2"/>
    </xf>
    <xf numFmtId="0" fontId="16" fillId="0" borderId="23" xfId="0" applyFont="1" applyBorder="1" applyAlignment="1" applyProtection="1">
      <alignment horizontal="right" vertical="top" wrapText="1" readingOrder="2"/>
    </xf>
    <xf numFmtId="0" fontId="16" fillId="0" borderId="11" xfId="0" applyFont="1" applyBorder="1" applyAlignment="1" applyProtection="1">
      <alignment horizontal="right" vertical="top" wrapText="1" readingOrder="2"/>
    </xf>
    <xf numFmtId="0" fontId="16" fillId="0" borderId="12" xfId="0" applyFont="1" applyBorder="1" applyAlignment="1" applyProtection="1">
      <alignment horizontal="right" vertical="top" wrapText="1" readingOrder="2"/>
    </xf>
    <xf numFmtId="0" fontId="16" fillId="0" borderId="13" xfId="0" applyFont="1" applyBorder="1" applyAlignment="1" applyProtection="1">
      <alignment horizontal="right" vertical="top" wrapText="1" readingOrder="2"/>
    </xf>
    <xf numFmtId="0" fontId="16" fillId="0" borderId="0" xfId="0" applyFont="1" applyBorder="1" applyAlignment="1" applyProtection="1">
      <alignment horizontal="right" vertical="top" wrapText="1" readingOrder="2"/>
    </xf>
    <xf numFmtId="0" fontId="16" fillId="0" borderId="14" xfId="0" applyFont="1" applyBorder="1" applyAlignment="1" applyProtection="1">
      <alignment horizontal="right" vertical="top" wrapText="1" readingOrder="2"/>
    </xf>
    <xf numFmtId="0" fontId="16" fillId="0" borderId="15" xfId="0" applyFont="1" applyBorder="1" applyAlignment="1" applyProtection="1">
      <alignment horizontal="right" vertical="top" wrapText="1" readingOrder="2"/>
    </xf>
    <xf numFmtId="0" fontId="16" fillId="0" borderId="17" xfId="0" applyFont="1" applyBorder="1" applyAlignment="1" applyProtection="1">
      <alignment horizontal="right" vertical="top" wrapText="1" readingOrder="2"/>
    </xf>
    <xf numFmtId="0" fontId="16" fillId="0" borderId="16" xfId="0" applyFont="1" applyBorder="1" applyAlignment="1" applyProtection="1">
      <alignment horizontal="right" vertical="top" wrapText="1" readingOrder="2"/>
    </xf>
    <xf numFmtId="0" fontId="26" fillId="9" borderId="23" xfId="0" applyFont="1" applyFill="1" applyBorder="1" applyAlignment="1" applyProtection="1">
      <alignment horizontal="center" vertical="center" wrapText="1" readingOrder="2"/>
    </xf>
    <xf numFmtId="0" fontId="26" fillId="9" borderId="11" xfId="0" applyFont="1" applyFill="1" applyBorder="1" applyAlignment="1" applyProtection="1">
      <alignment horizontal="center" vertical="center" wrapText="1" readingOrder="2"/>
    </xf>
    <xf numFmtId="0" fontId="26" fillId="9" borderId="12" xfId="0" applyFont="1" applyFill="1" applyBorder="1" applyAlignment="1" applyProtection="1">
      <alignment horizontal="center" vertical="center" wrapText="1" readingOrder="2"/>
    </xf>
    <xf numFmtId="0" fontId="26" fillId="9" borderId="13" xfId="0" applyFont="1" applyFill="1" applyBorder="1" applyAlignment="1" applyProtection="1">
      <alignment horizontal="center" vertical="center" wrapText="1" readingOrder="2"/>
    </xf>
    <xf numFmtId="0" fontId="26" fillId="9" borderId="0" xfId="0" applyFont="1" applyFill="1" applyBorder="1" applyAlignment="1" applyProtection="1">
      <alignment horizontal="center" vertical="center" wrapText="1" readingOrder="2"/>
    </xf>
    <xf numFmtId="0" fontId="26" fillId="9" borderId="14" xfId="0" applyFont="1" applyFill="1" applyBorder="1" applyAlignment="1" applyProtection="1">
      <alignment horizontal="center" vertical="center" wrapText="1" readingOrder="2"/>
    </xf>
    <xf numFmtId="0" fontId="26" fillId="9" borderId="15" xfId="0" applyFont="1" applyFill="1" applyBorder="1" applyAlignment="1" applyProtection="1">
      <alignment horizontal="center" vertical="center" wrapText="1" readingOrder="2"/>
    </xf>
    <xf numFmtId="0" fontId="26" fillId="9" borderId="17" xfId="0" applyFont="1" applyFill="1" applyBorder="1" applyAlignment="1" applyProtection="1">
      <alignment horizontal="center" vertical="center" wrapText="1" readingOrder="2"/>
    </xf>
    <xf numFmtId="0" fontId="26" fillId="9" borderId="16" xfId="0" applyFont="1" applyFill="1" applyBorder="1" applyAlignment="1" applyProtection="1">
      <alignment horizontal="center" vertical="center" wrapText="1" readingOrder="2"/>
    </xf>
    <xf numFmtId="0" fontId="15" fillId="0" borderId="1" xfId="0" applyFont="1" applyBorder="1" applyAlignment="1">
      <alignment horizontal="center" vertical="center"/>
    </xf>
    <xf numFmtId="0" fontId="29" fillId="0" borderId="1" xfId="0" applyFont="1" applyBorder="1" applyAlignment="1">
      <alignment horizontal="center" vertical="center"/>
    </xf>
    <xf numFmtId="0" fontId="29" fillId="0" borderId="6" xfId="0" applyFont="1" applyBorder="1" applyAlignment="1">
      <alignment horizontal="center" vertical="center"/>
    </xf>
    <xf numFmtId="0" fontId="30" fillId="0" borderId="23" xfId="4" applyBorder="1" applyAlignment="1">
      <alignment horizontal="center" vertical="center"/>
    </xf>
    <xf numFmtId="0" fontId="30" fillId="0" borderId="11" xfId="4" applyBorder="1" applyAlignment="1">
      <alignment horizontal="center" vertical="center"/>
    </xf>
    <xf numFmtId="0" fontId="30" fillId="0" borderId="12" xfId="4" applyBorder="1" applyAlignment="1">
      <alignment horizontal="center" vertical="center"/>
    </xf>
    <xf numFmtId="0" fontId="30" fillId="0" borderId="13" xfId="4" applyBorder="1" applyAlignment="1">
      <alignment horizontal="center" vertical="center"/>
    </xf>
    <xf numFmtId="0" fontId="30" fillId="0" borderId="0" xfId="4" applyBorder="1" applyAlignment="1">
      <alignment horizontal="center" vertical="center"/>
    </xf>
    <xf numFmtId="0" fontId="30" fillId="0" borderId="14" xfId="4" applyBorder="1" applyAlignment="1">
      <alignment horizontal="center" vertical="center"/>
    </xf>
    <xf numFmtId="0" fontId="30" fillId="0" borderId="15" xfId="4" applyBorder="1" applyAlignment="1">
      <alignment horizontal="center" vertical="center"/>
    </xf>
    <xf numFmtId="0" fontId="30" fillId="0" borderId="17" xfId="4" applyBorder="1" applyAlignment="1">
      <alignment horizontal="center" vertical="center"/>
    </xf>
    <xf numFmtId="0" fontId="30" fillId="0" borderId="16" xfId="4" applyBorder="1" applyAlignment="1">
      <alignment horizontal="center" vertical="center"/>
    </xf>
  </cellXfs>
  <cellStyles count="5">
    <cellStyle name="Comma" xfId="1" builtinId="3"/>
    <cellStyle name="Hyperlink" xfId="4" builtinId="8"/>
    <cellStyle name="Normal" xfId="0" builtinId="0"/>
    <cellStyle name="Normal 2" xfId="2"/>
    <cellStyle name="Percent" xfId="3" builtinId="5"/>
  </cellStyles>
  <dxfs count="103">
    <dxf>
      <font>
        <b val="0"/>
        <i val="0"/>
        <strike val="0"/>
        <condense val="0"/>
        <extend val="0"/>
        <outline val="0"/>
        <shadow val="0"/>
        <u val="none"/>
        <vertAlign val="baseline"/>
        <sz val="11"/>
        <color auto="1"/>
        <name val="IRANYekanFN"/>
        <scheme val="none"/>
      </font>
      <alignment horizontal="right" vertical="center" textRotation="0" wrapText="1" indent="0" justifyLastLine="0" shrinkToFit="0" readingOrder="0"/>
    </dxf>
    <dxf>
      <font>
        <b val="0"/>
        <i val="0"/>
        <strike val="0"/>
        <condense val="0"/>
        <extend val="0"/>
        <outline val="0"/>
        <shadow val="0"/>
        <u val="none"/>
        <vertAlign val="baseline"/>
        <sz val="11"/>
        <color auto="1"/>
        <name val="IRANYekanFN"/>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IRANYekanFN"/>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IRANYekanFN"/>
        <scheme val="none"/>
      </font>
      <alignment horizontal="right" vertical="center" textRotation="0" wrapText="0" indent="0" justifyLastLine="0" shrinkToFit="0" readingOrder="0"/>
    </dxf>
    <dxf>
      <font>
        <b val="0"/>
        <i val="0"/>
        <strike val="0"/>
        <condense val="0"/>
        <extend val="0"/>
        <outline val="0"/>
        <shadow val="0"/>
        <u val="none"/>
        <vertAlign val="baseline"/>
        <sz val="11"/>
        <color theme="1"/>
        <name val="B Nazanin"/>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name val="B Nazanin"/>
        <scheme val="none"/>
      </font>
      <numFmt numFmtId="1" formatCode="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B Nazanin"/>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name val="B Nazani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B Nazanin"/>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name val="B Nazani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B Nazanin"/>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name val="B Nazani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B Nazanin"/>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name val="B Nazani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B Nazanin"/>
        <scheme val="none"/>
      </font>
      <numFmt numFmtId="1" formatCode="0"/>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name val="B Nazanin"/>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font>
        <b val="0"/>
        <i val="0"/>
        <strike val="0"/>
        <condense val="0"/>
        <extend val="0"/>
        <outline val="0"/>
        <shadow val="0"/>
        <u val="none"/>
        <vertAlign val="baseline"/>
        <sz val="11"/>
        <color theme="1"/>
        <name val="B Nazanin"/>
        <scheme val="none"/>
      </font>
      <numFmt numFmtId="1" formatCode="0"/>
      <fill>
        <patternFill patternType="solid">
          <fgColor indexed="64"/>
          <bgColor theme="0" tint="-0.14999847407452621"/>
        </patternFill>
      </fill>
      <alignment horizontal="center" vertical="center" textRotation="0" wrapText="0"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font>
        <name val="B Nazanin"/>
        <scheme val="none"/>
      </font>
      <numFmt numFmtId="1" formatCode="0"/>
      <alignment horizontal="center" vertical="center" textRotation="0" wrapText="0" indent="0" justifyLastLine="0" shrinkToFit="0" readingOrder="0"/>
      <protection locked="1" hidden="0"/>
    </dxf>
    <dxf>
      <border>
        <bottom style="thin">
          <color indexed="64"/>
        </bottom>
      </border>
    </dxf>
    <dxf>
      <font>
        <strike val="0"/>
        <outline val="0"/>
        <shadow val="0"/>
        <u val="none"/>
        <vertAlign val="baseline"/>
        <sz val="11"/>
        <color theme="1"/>
        <name val="B Nazanin"/>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B Nazanin"/>
        <scheme val="none"/>
      </font>
      <numFmt numFmtId="164" formatCode="_(* #,##0_);_(* \(#,##0\);_(* &quot;-&quot;??_);_(@_)"/>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rgb="FF000000"/>
        <name val="B Nazanin"/>
        <scheme val="none"/>
      </font>
      <numFmt numFmtId="164" formatCode="_(* #,##0_);_(* \(#,##0\);_(* &quot;-&quot;??_);_(@_)"/>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i val="0"/>
        <strike val="0"/>
        <condense val="0"/>
        <extend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b/>
        <strike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b/>
        <strike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b/>
        <strike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b/>
        <strike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strike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b/>
        <strike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b/>
        <strike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b/>
        <strike val="0"/>
        <outline val="0"/>
        <shadow val="0"/>
        <u val="none"/>
        <vertAlign val="baseline"/>
        <sz val="11"/>
        <color auto="1"/>
        <name val="B Nazanin"/>
        <scheme val="none"/>
      </font>
      <numFmt numFmtId="164" formatCode="_(* #,##0_);_(* \(#,##0\);_(* &quot;-&quot;??_);_(@_)"/>
      <fill>
        <patternFill patternType="solid">
          <fgColor indexed="64"/>
          <bgColor rgb="FFFFFF00"/>
        </patternFill>
      </fill>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numFmt numFmtId="164" formatCode="_(* #,##0_);_(* \(#,##0\);_(* &quot;-&quot;??_);_(@_)"/>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numFmt numFmtId="0" formatCode="General"/>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numFmt numFmtId="0" formatCode="General"/>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numFmt numFmtId="0" formatCode="General"/>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numFmt numFmtId="0" formatCode="General"/>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numFmt numFmtId="0" formatCode="General"/>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numFmt numFmtId="0" formatCode="General"/>
      <alignment horizontal="center" vertical="center" textRotation="0" wrapText="0" indent="0" justifyLastLine="0" shrinkToFit="0" readingOrder="0"/>
      <protection locked="1" hidden="0"/>
    </dxf>
    <dxf>
      <font>
        <strike val="0"/>
        <outline val="0"/>
        <shadow val="0"/>
        <u val="none"/>
        <vertAlign val="baseline"/>
        <sz val="11"/>
        <color rgb="FF000000"/>
        <name val="B Nazanin"/>
        <scheme val="none"/>
      </font>
      <numFmt numFmtId="0" formatCode="General"/>
      <alignment horizontal="center" vertical="center" textRotation="0" wrapText="0" indent="0" justifyLastLine="0" shrinkToFit="0" readingOrder="0"/>
      <protection locked="1" hidden="0"/>
    </dxf>
    <dxf>
      <font>
        <strike val="0"/>
        <outline val="0"/>
        <shadow val="0"/>
        <u val="none"/>
        <vertAlign val="baseline"/>
        <sz val="11"/>
        <color rgb="FF000000"/>
        <name val="B Nazanin"/>
        <scheme val="none"/>
      </font>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alignment horizontal="center" vertical="center" textRotation="0" wrapText="0" indent="0" justifyLastLine="0" shrinkToFit="0" readingOrder="0"/>
      <protection locked="1" hidden="0"/>
    </dxf>
    <dxf>
      <font>
        <strike val="0"/>
        <outline val="0"/>
        <shadow val="0"/>
        <u val="none"/>
        <vertAlign val="baseline"/>
        <sz val="11"/>
        <color theme="1"/>
        <name val="B Nazanin"/>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1"/>
        <color theme="1"/>
        <name val="B Nazani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strike val="0"/>
        <outline val="0"/>
        <shadow val="0"/>
        <u val="none"/>
        <vertAlign val="baseline"/>
        <sz val="11"/>
        <color auto="1"/>
        <name val="B Nazanin"/>
        <scheme val="none"/>
      </font>
      <numFmt numFmtId="168" formatCode="[$-1000000][hh]:mm;&quot;در نسخه کامل&quot;;&quot;در نسخه کامل&quo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11"/>
        <color auto="1"/>
        <name val="B Nazanin"/>
        <scheme val="none"/>
      </font>
      <numFmt numFmtId="168" formatCode="[$-1000000][hh]:mm;&quot;در نسخه کامل&quot;;&quot;در نسخه کامل&quo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11"/>
        <color auto="1"/>
        <name val="B Nazanin"/>
        <scheme val="none"/>
      </font>
      <numFmt numFmtId="168" formatCode="[$-1000000][hh]:mm;&quot;در نسخه کامل&quot;;&quot;در نسخه کامل&quo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11"/>
        <color auto="1"/>
        <name val="B Nazanin"/>
        <scheme val="none"/>
      </font>
      <numFmt numFmtId="168" formatCode="[$-1000000][hh]:mm;&quot;در نسخه کامل&quot;;&quot;در نسخه کامل&quo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11"/>
        <color auto="1"/>
        <name val="B Nazanin"/>
        <scheme val="none"/>
      </font>
      <numFmt numFmtId="168" formatCode="[$-1000000][hh]:mm;&quot;در نسخه کامل&quot;;&quot;در نسخه کامل&quo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B Nazanin"/>
        <scheme val="none"/>
      </font>
      <numFmt numFmtId="168" formatCode="[$-1000000][hh]:mm;&quot;در نسخه کامل&quot;;&quot;در نسخه کامل&quo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B Nazanin"/>
        <scheme val="none"/>
      </font>
      <numFmt numFmtId="168" formatCode="[$-1000000][hh]:mm;&quot;در نسخه کامل&quot;;&quot;در نسخه کامل&quo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theme="1"/>
        <name val="B Nazani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B Nazanin"/>
        <scheme val="none"/>
      </font>
      <numFmt numFmtId="164" formatCode="_(* #,##0_);_(* \(#,##0\);_(* &quot;-&quot;??_);_(@_)"/>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strike val="0"/>
        <outline val="0"/>
        <shadow val="0"/>
        <u val="none"/>
        <vertAlign val="baseline"/>
        <sz val="11"/>
        <color theme="1"/>
        <name val="B Nazanin"/>
        <scheme val="none"/>
      </font>
      <numFmt numFmtId="164" formatCode="_(* #,##0_);_(* \(#,##0\);_(* &quot;-&quot;??_);_(@_)"/>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1"/>
        <color theme="1"/>
        <name val="B Nazanin"/>
        <scheme val="none"/>
      </font>
      <numFmt numFmtId="164" formatCode="_(* #,##0_);_(* \(#,##0\);_(* &quot;-&quot;??_);_(@_)"/>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strike val="0"/>
        <outline val="0"/>
        <shadow val="0"/>
        <u val="none"/>
        <vertAlign val="baseline"/>
        <sz val="11"/>
        <color theme="1"/>
        <name val="B Nazanin"/>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1"/>
        <color theme="1"/>
        <name val="B Nazanin"/>
        <scheme val="none"/>
      </font>
      <numFmt numFmtId="164" formatCode="_(* #,##0_);_(* \(#,##0\);_(* &quot;-&quot;??_);_(@_)"/>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strike val="0"/>
        <outline val="0"/>
        <shadow val="0"/>
        <u val="none"/>
        <vertAlign val="baseline"/>
        <sz val="11"/>
        <color theme="1"/>
        <name val="B Nazanin"/>
        <scheme val="none"/>
      </font>
      <numFmt numFmtId="164" formatCode="_(* #,##0_);_(* \(#,##0\);_(* &quot;-&quot;??_);_(@_)"/>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strike val="0"/>
        <outline val="0"/>
        <shadow val="0"/>
        <u val="none"/>
        <vertAlign val="baseline"/>
        <sz val="11"/>
        <color auto="1"/>
        <name val="B Nazanin"/>
        <scheme val="none"/>
      </font>
      <numFmt numFmtId="168" formatCode="[$-1000000][hh]:mm;&quot;در نسخه کامل&quot;;&quot;در نسخه کامل&quo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theme="1"/>
        <name val="B Nazanin"/>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dxf>
    <dxf>
      <font>
        <strike val="0"/>
        <outline val="0"/>
        <shadow val="0"/>
        <u val="none"/>
        <vertAlign val="baseline"/>
        <sz val="11"/>
        <color theme="1"/>
        <name val="B Nazanin"/>
        <scheme val="none"/>
      </font>
      <numFmt numFmtId="166" formatCode="[$-1000000][hh]:mm;@"/>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strike val="0"/>
        <outline val="0"/>
        <shadow val="0"/>
        <u val="none"/>
        <vertAlign val="baseline"/>
        <sz val="11"/>
        <color theme="1"/>
        <name val="B Nazanin"/>
        <scheme val="none"/>
      </font>
      <numFmt numFmtId="166" formatCode="[$-1000000][hh]:mm;@"/>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1"/>
        <color theme="1"/>
        <name val="B Nazanin"/>
        <scheme val="none"/>
      </font>
      <numFmt numFmtId="166" formatCode="[$-1000000][hh]:mm;@"/>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1"/>
        <color theme="1"/>
        <name val="B Nazanin"/>
        <scheme val="none"/>
      </font>
      <numFmt numFmtId="166" formatCode="[$-1000000][hh]:mm;@"/>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1"/>
        <color theme="1"/>
        <name val="B Nazanin"/>
        <scheme val="none"/>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B Nazanin"/>
        <scheme val="none"/>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B Nazanin"/>
        <scheme val="none"/>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B Nazanin"/>
        <scheme val="none"/>
      </font>
      <numFmt numFmtId="2"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auto="1"/>
        <name val="B Nazanin"/>
        <scheme val="none"/>
      </font>
      <numFmt numFmtId="168" formatCode="[$-1000000][hh]:mm;&quot;در نسخه کامل&quot;;&quot;در نسخه کامل&quo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B Nazanin"/>
        <scheme val="none"/>
      </font>
      <numFmt numFmtId="169" formatCode="[$-1000000][hh]:mm;[Red]&quot;صفر&quot;;[Red]&quot;صفر&quo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11"/>
        <color auto="1"/>
        <name val="B Nazanin"/>
        <scheme val="none"/>
      </font>
      <numFmt numFmtId="170" formatCode="[$-1000000][hh]:mm;[Red]&quot;در نسخه کامل&quot;;[Red]&quot;در نسخه کامل&quo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theme="1"/>
        <name val="B Nazani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strike val="0"/>
        <outline val="0"/>
        <shadow val="0"/>
        <u val="none"/>
        <vertAlign val="baseline"/>
        <sz val="11"/>
        <color theme="1"/>
        <name val="B Nazanin"/>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strike val="0"/>
        <outline val="0"/>
        <shadow val="0"/>
        <u val="none"/>
        <vertAlign val="baseline"/>
        <sz val="11"/>
        <color theme="1"/>
        <name val="B Nazani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dxf>
    <dxf>
      <font>
        <strike val="0"/>
        <outline val="0"/>
        <shadow val="0"/>
        <u val="none"/>
        <vertAlign val="baseline"/>
        <sz val="11"/>
        <color theme="1"/>
        <name val="B Nazani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dxf>
    <dxf>
      <font>
        <strike val="0"/>
        <outline val="0"/>
        <shadow val="0"/>
        <u val="none"/>
        <vertAlign val="baseline"/>
        <sz val="11"/>
        <color theme="1"/>
        <name val="B Nazani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dxf>
    <dxf>
      <font>
        <strike val="0"/>
        <outline val="0"/>
        <shadow val="0"/>
        <u val="none"/>
        <vertAlign val="baseline"/>
        <sz val="11"/>
        <color theme="1"/>
        <name val="B Nazani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dxf>
    <dxf>
      <font>
        <strike val="0"/>
        <outline val="0"/>
        <shadow val="0"/>
        <u val="none"/>
        <vertAlign val="baseline"/>
        <sz val="11"/>
        <color theme="1"/>
        <name val="B Nazanin"/>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B Nazanin"/>
        <scheme val="none"/>
      </font>
      <alignment horizontal="center" vertical="center" textRotation="0" wrapText="0" indent="0" justifyLastLine="0" shrinkToFit="0" readingOrder="0"/>
      <protection locked="0"/>
    </dxf>
    <dxf>
      <border>
        <bottom style="thin">
          <color indexed="64"/>
        </bottom>
      </border>
    </dxf>
    <dxf>
      <font>
        <b/>
        <strike val="0"/>
        <outline val="0"/>
        <shadow val="0"/>
        <u val="none"/>
        <vertAlign val="baseline"/>
        <sz val="11"/>
        <color theme="1"/>
        <name val="B Nazanin"/>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1164430</xdr:colOff>
      <xdr:row>0</xdr:row>
      <xdr:rowOff>59532</xdr:rowOff>
    </xdr:from>
    <xdr:to>
      <xdr:col>7</xdr:col>
      <xdr:colOff>286940</xdr:colOff>
      <xdr:row>1</xdr:row>
      <xdr:rowOff>136921</xdr:rowOff>
    </xdr:to>
    <xdr:sp macro="" textlink="">
      <xdr:nvSpPr>
        <xdr:cNvPr id="6" name="Right Arrow 5">
          <a:extLst>
            <a:ext uri="{FF2B5EF4-FFF2-40B4-BE49-F238E27FC236}">
              <a16:creationId xmlns:a16="http://schemas.microsoft.com/office/drawing/2014/main" id="{00000000-0008-0000-0000-000006000000}"/>
            </a:ext>
          </a:extLst>
        </xdr:cNvPr>
        <xdr:cNvSpPr/>
      </xdr:nvSpPr>
      <xdr:spPr>
        <a:xfrm rot="16200000">
          <a:off x="9996266045" y="60722"/>
          <a:ext cx="305989" cy="3036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6</xdr:col>
      <xdr:colOff>714375</xdr:colOff>
      <xdr:row>0</xdr:row>
      <xdr:rowOff>59532</xdr:rowOff>
    </xdr:from>
    <xdr:to>
      <xdr:col>6</xdr:col>
      <xdr:colOff>1017985</xdr:colOff>
      <xdr:row>1</xdr:row>
      <xdr:rowOff>136921</xdr:rowOff>
    </xdr:to>
    <xdr:sp macro="" textlink="">
      <xdr:nvSpPr>
        <xdr:cNvPr id="7" name="Right Arrow 6">
          <a:extLst>
            <a:ext uri="{FF2B5EF4-FFF2-40B4-BE49-F238E27FC236}">
              <a16:creationId xmlns:a16="http://schemas.microsoft.com/office/drawing/2014/main" id="{00000000-0008-0000-0000-000007000000}"/>
            </a:ext>
          </a:extLst>
        </xdr:cNvPr>
        <xdr:cNvSpPr/>
      </xdr:nvSpPr>
      <xdr:spPr>
        <a:xfrm rot="16200000">
          <a:off x="9957012328" y="59531"/>
          <a:ext cx="303608" cy="3036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6</xdr:col>
      <xdr:colOff>238125</xdr:colOff>
      <xdr:row>0</xdr:row>
      <xdr:rowOff>59532</xdr:rowOff>
    </xdr:from>
    <xdr:to>
      <xdr:col>6</xdr:col>
      <xdr:colOff>541735</xdr:colOff>
      <xdr:row>1</xdr:row>
      <xdr:rowOff>136921</xdr:rowOff>
    </xdr:to>
    <xdr:sp macro="" textlink="">
      <xdr:nvSpPr>
        <xdr:cNvPr id="8" name="Right Arrow 7">
          <a:extLst>
            <a:ext uri="{FF2B5EF4-FFF2-40B4-BE49-F238E27FC236}">
              <a16:creationId xmlns:a16="http://schemas.microsoft.com/office/drawing/2014/main" id="{00000000-0008-0000-0000-000008000000}"/>
            </a:ext>
          </a:extLst>
        </xdr:cNvPr>
        <xdr:cNvSpPr/>
      </xdr:nvSpPr>
      <xdr:spPr>
        <a:xfrm rot="16200000">
          <a:off x="9957488578" y="59531"/>
          <a:ext cx="303608" cy="3036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editAs="oneCell">
    <xdr:from>
      <xdr:col>13</xdr:col>
      <xdr:colOff>587867</xdr:colOff>
      <xdr:row>15</xdr:row>
      <xdr:rowOff>31949</xdr:rowOff>
    </xdr:from>
    <xdr:to>
      <xdr:col>13</xdr:col>
      <xdr:colOff>878715</xdr:colOff>
      <xdr:row>15</xdr:row>
      <xdr:rowOff>257356</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11" t="25613" r="72181" b="59191"/>
        <a:stretch/>
      </xdr:blipFill>
      <xdr:spPr>
        <a:xfrm>
          <a:off x="10000733503" y="3358991"/>
          <a:ext cx="290848" cy="225407"/>
        </a:xfrm>
        <a:prstGeom prst="rect">
          <a:avLst/>
        </a:prstGeom>
      </xdr:spPr>
    </xdr:pic>
    <xdr:clientData/>
  </xdr:twoCellAnchor>
  <xdr:twoCellAnchor editAs="oneCell">
    <xdr:from>
      <xdr:col>13</xdr:col>
      <xdr:colOff>601283</xdr:colOff>
      <xdr:row>16</xdr:row>
      <xdr:rowOff>25241</xdr:rowOff>
    </xdr:from>
    <xdr:to>
      <xdr:col>13</xdr:col>
      <xdr:colOff>892131</xdr:colOff>
      <xdr:row>16</xdr:row>
      <xdr:rowOff>250648</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10000720087" y="3654132"/>
          <a:ext cx="290848" cy="225407"/>
        </a:xfrm>
        <a:prstGeom prst="rect">
          <a:avLst/>
        </a:prstGeom>
      </xdr:spPr>
    </xdr:pic>
    <xdr:clientData/>
  </xdr:twoCellAnchor>
  <xdr:twoCellAnchor editAs="oneCell">
    <xdr:from>
      <xdr:col>12</xdr:col>
      <xdr:colOff>456772</xdr:colOff>
      <xdr:row>21</xdr:row>
      <xdr:rowOff>163739</xdr:rowOff>
    </xdr:from>
    <xdr:to>
      <xdr:col>12</xdr:col>
      <xdr:colOff>691697</xdr:colOff>
      <xdr:row>21</xdr:row>
      <xdr:rowOff>381000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80653" y="5592989"/>
          <a:ext cx="234925" cy="217261"/>
        </a:xfrm>
        <a:prstGeom prst="rect">
          <a:avLst/>
        </a:prstGeom>
      </xdr:spPr>
    </xdr:pic>
    <xdr:clientData/>
  </xdr:twoCellAnchor>
  <xdr:twoCellAnchor editAs="oneCell">
    <xdr:from>
      <xdr:col>12</xdr:col>
      <xdr:colOff>466297</xdr:colOff>
      <xdr:row>22</xdr:row>
      <xdr:rowOff>58964</xdr:rowOff>
    </xdr:from>
    <xdr:to>
      <xdr:col>12</xdr:col>
      <xdr:colOff>701222</xdr:colOff>
      <xdr:row>22</xdr:row>
      <xdr:rowOff>276225</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71128" y="6088289"/>
          <a:ext cx="234925" cy="217261"/>
        </a:xfrm>
        <a:prstGeom prst="rect">
          <a:avLst/>
        </a:prstGeom>
      </xdr:spPr>
    </xdr:pic>
    <xdr:clientData/>
  </xdr:twoCellAnchor>
  <xdr:twoCellAnchor editAs="oneCell">
    <xdr:from>
      <xdr:col>13</xdr:col>
      <xdr:colOff>610808</xdr:colOff>
      <xdr:row>21</xdr:row>
      <xdr:rowOff>158591</xdr:rowOff>
    </xdr:from>
    <xdr:to>
      <xdr:col>13</xdr:col>
      <xdr:colOff>901656</xdr:colOff>
      <xdr:row>21</xdr:row>
      <xdr:rowOff>383998</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65794" y="5587841"/>
          <a:ext cx="290848" cy="225407"/>
        </a:xfrm>
        <a:prstGeom prst="rect">
          <a:avLst/>
        </a:prstGeom>
      </xdr:spPr>
    </xdr:pic>
    <xdr:clientData/>
  </xdr:twoCellAnchor>
  <xdr:twoCellAnchor editAs="oneCell">
    <xdr:from>
      <xdr:col>12</xdr:col>
      <xdr:colOff>448883</xdr:colOff>
      <xdr:row>24</xdr:row>
      <xdr:rowOff>44291</xdr:rowOff>
    </xdr:from>
    <xdr:to>
      <xdr:col>12</xdr:col>
      <xdr:colOff>739731</xdr:colOff>
      <xdr:row>24</xdr:row>
      <xdr:rowOff>269698</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8832619" y="4816316"/>
          <a:ext cx="290848" cy="225407"/>
        </a:xfrm>
        <a:prstGeom prst="rect">
          <a:avLst/>
        </a:prstGeom>
      </xdr:spPr>
    </xdr:pic>
    <xdr:clientData/>
  </xdr:twoCellAnchor>
  <xdr:twoCellAnchor editAs="oneCell">
    <xdr:from>
      <xdr:col>13</xdr:col>
      <xdr:colOff>620333</xdr:colOff>
      <xdr:row>22</xdr:row>
      <xdr:rowOff>25241</xdr:rowOff>
    </xdr:from>
    <xdr:to>
      <xdr:col>13</xdr:col>
      <xdr:colOff>911181</xdr:colOff>
      <xdr:row>22</xdr:row>
      <xdr:rowOff>250648</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56269" y="6054566"/>
          <a:ext cx="290848" cy="225407"/>
        </a:xfrm>
        <a:prstGeom prst="rect">
          <a:avLst/>
        </a:prstGeom>
      </xdr:spPr>
    </xdr:pic>
    <xdr:clientData/>
  </xdr:twoCellAnchor>
  <xdr:twoCellAnchor editAs="oneCell">
    <xdr:from>
      <xdr:col>13</xdr:col>
      <xdr:colOff>629858</xdr:colOff>
      <xdr:row>24</xdr:row>
      <xdr:rowOff>25241</xdr:rowOff>
    </xdr:from>
    <xdr:to>
      <xdr:col>13</xdr:col>
      <xdr:colOff>920706</xdr:colOff>
      <xdr:row>24</xdr:row>
      <xdr:rowOff>250648</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46744" y="6273641"/>
          <a:ext cx="290848" cy="225407"/>
        </a:xfrm>
        <a:prstGeom prst="rect">
          <a:avLst/>
        </a:prstGeom>
      </xdr:spPr>
    </xdr:pic>
    <xdr:clientData/>
  </xdr:twoCellAnchor>
  <xdr:twoCellAnchor editAs="oneCell">
    <xdr:from>
      <xdr:col>13</xdr:col>
      <xdr:colOff>629858</xdr:colOff>
      <xdr:row>25</xdr:row>
      <xdr:rowOff>28575</xdr:rowOff>
    </xdr:from>
    <xdr:to>
      <xdr:col>13</xdr:col>
      <xdr:colOff>920706</xdr:colOff>
      <xdr:row>25</xdr:row>
      <xdr:rowOff>253982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46744" y="6562725"/>
          <a:ext cx="290848" cy="225407"/>
        </a:xfrm>
        <a:prstGeom prst="rect">
          <a:avLst/>
        </a:prstGeom>
      </xdr:spPr>
    </xdr:pic>
    <xdr:clientData/>
  </xdr:twoCellAnchor>
  <xdr:twoCellAnchor editAs="oneCell">
    <xdr:from>
      <xdr:col>13</xdr:col>
      <xdr:colOff>639383</xdr:colOff>
      <xdr:row>26</xdr:row>
      <xdr:rowOff>34766</xdr:rowOff>
    </xdr:from>
    <xdr:to>
      <xdr:col>13</xdr:col>
      <xdr:colOff>930231</xdr:colOff>
      <xdr:row>26</xdr:row>
      <xdr:rowOff>260173</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37219" y="6854666"/>
          <a:ext cx="290848" cy="225407"/>
        </a:xfrm>
        <a:prstGeom prst="rect">
          <a:avLst/>
        </a:prstGeom>
      </xdr:spPr>
    </xdr:pic>
    <xdr:clientData/>
  </xdr:twoCellAnchor>
  <xdr:twoCellAnchor editAs="oneCell">
    <xdr:from>
      <xdr:col>12</xdr:col>
      <xdr:colOff>448883</xdr:colOff>
      <xdr:row>26</xdr:row>
      <xdr:rowOff>53816</xdr:rowOff>
    </xdr:from>
    <xdr:to>
      <xdr:col>12</xdr:col>
      <xdr:colOff>739731</xdr:colOff>
      <xdr:row>26</xdr:row>
      <xdr:rowOff>279223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8832619" y="5397341"/>
          <a:ext cx="290848" cy="225407"/>
        </a:xfrm>
        <a:prstGeom prst="rect">
          <a:avLst/>
        </a:prstGeom>
      </xdr:spPr>
    </xdr:pic>
    <xdr:clientData/>
  </xdr:twoCellAnchor>
  <xdr:twoCellAnchor editAs="oneCell">
    <xdr:from>
      <xdr:col>13</xdr:col>
      <xdr:colOff>648908</xdr:colOff>
      <xdr:row>27</xdr:row>
      <xdr:rowOff>34766</xdr:rowOff>
    </xdr:from>
    <xdr:to>
      <xdr:col>13</xdr:col>
      <xdr:colOff>939756</xdr:colOff>
      <xdr:row>27</xdr:row>
      <xdr:rowOff>260173</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27694" y="7140416"/>
          <a:ext cx="290848" cy="225407"/>
        </a:xfrm>
        <a:prstGeom prst="rect">
          <a:avLst/>
        </a:prstGeom>
      </xdr:spPr>
    </xdr:pic>
    <xdr:clientData/>
  </xdr:twoCellAnchor>
  <xdr:twoCellAnchor editAs="oneCell">
    <xdr:from>
      <xdr:col>12</xdr:col>
      <xdr:colOff>458408</xdr:colOff>
      <xdr:row>27</xdr:row>
      <xdr:rowOff>53816</xdr:rowOff>
    </xdr:from>
    <xdr:to>
      <xdr:col>12</xdr:col>
      <xdr:colOff>749256</xdr:colOff>
      <xdr:row>27</xdr:row>
      <xdr:rowOff>279223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8823094" y="5702141"/>
          <a:ext cx="290848" cy="225407"/>
        </a:xfrm>
        <a:prstGeom prst="rect">
          <a:avLst/>
        </a:prstGeom>
      </xdr:spPr>
    </xdr:pic>
    <xdr:clientData/>
  </xdr:twoCellAnchor>
  <xdr:twoCellAnchor editAs="oneCell">
    <xdr:from>
      <xdr:col>13</xdr:col>
      <xdr:colOff>639383</xdr:colOff>
      <xdr:row>28</xdr:row>
      <xdr:rowOff>25241</xdr:rowOff>
    </xdr:from>
    <xdr:to>
      <xdr:col>13</xdr:col>
      <xdr:colOff>930231</xdr:colOff>
      <xdr:row>28</xdr:row>
      <xdr:rowOff>250648</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37219" y="7435691"/>
          <a:ext cx="290848" cy="225407"/>
        </a:xfrm>
        <a:prstGeom prst="rect">
          <a:avLst/>
        </a:prstGeom>
      </xdr:spPr>
    </xdr:pic>
    <xdr:clientData/>
  </xdr:twoCellAnchor>
  <xdr:twoCellAnchor editAs="oneCell">
    <xdr:from>
      <xdr:col>12</xdr:col>
      <xdr:colOff>448883</xdr:colOff>
      <xdr:row>28</xdr:row>
      <xdr:rowOff>44291</xdr:rowOff>
    </xdr:from>
    <xdr:to>
      <xdr:col>12</xdr:col>
      <xdr:colOff>739731</xdr:colOff>
      <xdr:row>28</xdr:row>
      <xdr:rowOff>269698</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8832619" y="5997416"/>
          <a:ext cx="290848" cy="225407"/>
        </a:xfrm>
        <a:prstGeom prst="rect">
          <a:avLst/>
        </a:prstGeom>
      </xdr:spPr>
    </xdr:pic>
    <xdr:clientData/>
  </xdr:twoCellAnchor>
  <xdr:twoCellAnchor editAs="oneCell">
    <xdr:from>
      <xdr:col>13</xdr:col>
      <xdr:colOff>639383</xdr:colOff>
      <xdr:row>29</xdr:row>
      <xdr:rowOff>15716</xdr:rowOff>
    </xdr:from>
    <xdr:to>
      <xdr:col>13</xdr:col>
      <xdr:colOff>930231</xdr:colOff>
      <xdr:row>29</xdr:row>
      <xdr:rowOff>241123</xdr:rowOff>
    </xdr:to>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37219" y="7711916"/>
          <a:ext cx="290848" cy="225407"/>
        </a:xfrm>
        <a:prstGeom prst="rect">
          <a:avLst/>
        </a:prstGeom>
      </xdr:spPr>
    </xdr:pic>
    <xdr:clientData/>
  </xdr:twoCellAnchor>
  <xdr:twoCellAnchor editAs="oneCell">
    <xdr:from>
      <xdr:col>12</xdr:col>
      <xdr:colOff>448883</xdr:colOff>
      <xdr:row>29</xdr:row>
      <xdr:rowOff>34766</xdr:rowOff>
    </xdr:from>
    <xdr:to>
      <xdr:col>12</xdr:col>
      <xdr:colOff>739731</xdr:colOff>
      <xdr:row>29</xdr:row>
      <xdr:rowOff>260173</xdr:rowOff>
    </xdr:to>
    <xdr:pic>
      <xdr:nvPicPr>
        <xdr:cNvPr id="33" name="Picture 32">
          <a:extLst>
            <a:ext uri="{FF2B5EF4-FFF2-40B4-BE49-F238E27FC236}">
              <a16:creationId xmlns:a16="http://schemas.microsoft.com/office/drawing/2014/main" id="{00000000-0008-0000-0000-000021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8832619" y="6273641"/>
          <a:ext cx="290848" cy="225407"/>
        </a:xfrm>
        <a:prstGeom prst="rect">
          <a:avLst/>
        </a:prstGeom>
      </xdr:spPr>
    </xdr:pic>
    <xdr:clientData/>
  </xdr:twoCellAnchor>
  <xdr:twoCellAnchor editAs="oneCell">
    <xdr:from>
      <xdr:col>12</xdr:col>
      <xdr:colOff>485347</xdr:colOff>
      <xdr:row>30</xdr:row>
      <xdr:rowOff>39914</xdr:rowOff>
    </xdr:from>
    <xdr:to>
      <xdr:col>12</xdr:col>
      <xdr:colOff>720272</xdr:colOff>
      <xdr:row>30</xdr:row>
      <xdr:rowOff>257175</xdr:rowOff>
    </xdr:to>
    <xdr:pic>
      <xdr:nvPicPr>
        <xdr:cNvPr id="34" name="Picture 33">
          <a:extLst>
            <a:ext uri="{FF2B5EF4-FFF2-40B4-BE49-F238E27FC236}">
              <a16:creationId xmlns:a16="http://schemas.microsoft.com/office/drawing/2014/main" id="{00000000-0008-0000-0000-00002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52078" y="6564539"/>
          <a:ext cx="234925" cy="217261"/>
        </a:xfrm>
        <a:prstGeom prst="rect">
          <a:avLst/>
        </a:prstGeom>
      </xdr:spPr>
    </xdr:pic>
    <xdr:clientData/>
  </xdr:twoCellAnchor>
  <xdr:twoCellAnchor editAs="oneCell">
    <xdr:from>
      <xdr:col>13</xdr:col>
      <xdr:colOff>639383</xdr:colOff>
      <xdr:row>30</xdr:row>
      <xdr:rowOff>25241</xdr:rowOff>
    </xdr:from>
    <xdr:to>
      <xdr:col>13</xdr:col>
      <xdr:colOff>930231</xdr:colOff>
      <xdr:row>30</xdr:row>
      <xdr:rowOff>250648</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37219" y="8007191"/>
          <a:ext cx="290848" cy="225407"/>
        </a:xfrm>
        <a:prstGeom prst="rect">
          <a:avLst/>
        </a:prstGeom>
      </xdr:spPr>
    </xdr:pic>
    <xdr:clientData/>
  </xdr:twoCellAnchor>
  <xdr:twoCellAnchor editAs="oneCell">
    <xdr:from>
      <xdr:col>12</xdr:col>
      <xdr:colOff>485347</xdr:colOff>
      <xdr:row>31</xdr:row>
      <xdr:rowOff>58964</xdr:rowOff>
    </xdr:from>
    <xdr:to>
      <xdr:col>12</xdr:col>
      <xdr:colOff>720272</xdr:colOff>
      <xdr:row>31</xdr:row>
      <xdr:rowOff>276225</xdr:rowOff>
    </xdr:to>
    <xdr:pic>
      <xdr:nvPicPr>
        <xdr:cNvPr id="36" name="Picture 35">
          <a:extLst>
            <a:ext uri="{FF2B5EF4-FFF2-40B4-BE49-F238E27FC236}">
              <a16:creationId xmlns:a16="http://schemas.microsoft.com/office/drawing/2014/main" id="{00000000-0008-0000-0000-00002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52078" y="6869339"/>
          <a:ext cx="234925" cy="217261"/>
        </a:xfrm>
        <a:prstGeom prst="rect">
          <a:avLst/>
        </a:prstGeom>
      </xdr:spPr>
    </xdr:pic>
    <xdr:clientData/>
  </xdr:twoCellAnchor>
  <xdr:twoCellAnchor editAs="oneCell">
    <xdr:from>
      <xdr:col>13</xdr:col>
      <xdr:colOff>648908</xdr:colOff>
      <xdr:row>31</xdr:row>
      <xdr:rowOff>34766</xdr:rowOff>
    </xdr:from>
    <xdr:to>
      <xdr:col>13</xdr:col>
      <xdr:colOff>939756</xdr:colOff>
      <xdr:row>31</xdr:row>
      <xdr:rowOff>260173</xdr:rowOff>
    </xdr:to>
    <xdr:pic>
      <xdr:nvPicPr>
        <xdr:cNvPr id="37" name="Picture 36">
          <a:extLst>
            <a:ext uri="{FF2B5EF4-FFF2-40B4-BE49-F238E27FC236}">
              <a16:creationId xmlns:a16="http://schemas.microsoft.com/office/drawing/2014/main" id="{00000000-0008-0000-0000-00002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11" t="25613" r="72181" b="59191"/>
        <a:stretch/>
      </xdr:blipFill>
      <xdr:spPr>
        <a:xfrm>
          <a:off x="9987527694" y="8302466"/>
          <a:ext cx="290848" cy="225407"/>
        </a:xfrm>
        <a:prstGeom prst="rect">
          <a:avLst/>
        </a:prstGeom>
      </xdr:spPr>
    </xdr:pic>
    <xdr:clientData/>
  </xdr:twoCellAnchor>
  <xdr:twoCellAnchor editAs="oneCell">
    <xdr:from>
      <xdr:col>12</xdr:col>
      <xdr:colOff>466297</xdr:colOff>
      <xdr:row>23</xdr:row>
      <xdr:rowOff>49439</xdr:rowOff>
    </xdr:from>
    <xdr:to>
      <xdr:col>12</xdr:col>
      <xdr:colOff>701222</xdr:colOff>
      <xdr:row>23</xdr:row>
      <xdr:rowOff>266700</xdr:rowOff>
    </xdr:to>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71128" y="5993039"/>
          <a:ext cx="234925" cy="217261"/>
        </a:xfrm>
        <a:prstGeom prst="rect">
          <a:avLst/>
        </a:prstGeom>
      </xdr:spPr>
    </xdr:pic>
    <xdr:clientData/>
  </xdr:twoCellAnchor>
  <xdr:twoCellAnchor editAs="oneCell">
    <xdr:from>
      <xdr:col>13</xdr:col>
      <xdr:colOff>610808</xdr:colOff>
      <xdr:row>23</xdr:row>
      <xdr:rowOff>25241</xdr:rowOff>
    </xdr:from>
    <xdr:to>
      <xdr:col>13</xdr:col>
      <xdr:colOff>901656</xdr:colOff>
      <xdr:row>23</xdr:row>
      <xdr:rowOff>250648</xdr:rowOff>
    </xdr:to>
    <xdr:pic>
      <xdr:nvPicPr>
        <xdr:cNvPr id="39" name="Picture 38">
          <a:extLst>
            <a:ext uri="{FF2B5EF4-FFF2-40B4-BE49-F238E27FC236}">
              <a16:creationId xmlns:a16="http://schemas.microsoft.com/office/drawing/2014/main" id="{00000000-0008-0000-0000-00002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65794" y="5968841"/>
          <a:ext cx="290848" cy="225407"/>
        </a:xfrm>
        <a:prstGeom prst="rect">
          <a:avLst/>
        </a:prstGeom>
      </xdr:spPr>
    </xdr:pic>
    <xdr:clientData/>
  </xdr:twoCellAnchor>
  <xdr:twoCellAnchor editAs="oneCell">
    <xdr:from>
      <xdr:col>12</xdr:col>
      <xdr:colOff>485347</xdr:colOff>
      <xdr:row>32</xdr:row>
      <xdr:rowOff>58964</xdr:rowOff>
    </xdr:from>
    <xdr:to>
      <xdr:col>12</xdr:col>
      <xdr:colOff>720272</xdr:colOff>
      <xdr:row>32</xdr:row>
      <xdr:rowOff>276225</xdr:rowOff>
    </xdr:to>
    <xdr:pic>
      <xdr:nvPicPr>
        <xdr:cNvPr id="40" name="Picture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52078" y="7726589"/>
          <a:ext cx="234925" cy="217261"/>
        </a:xfrm>
        <a:prstGeom prst="rect">
          <a:avLst/>
        </a:prstGeom>
      </xdr:spPr>
    </xdr:pic>
    <xdr:clientData/>
  </xdr:twoCellAnchor>
  <xdr:twoCellAnchor editAs="oneCell">
    <xdr:from>
      <xdr:col>13</xdr:col>
      <xdr:colOff>658433</xdr:colOff>
      <xdr:row>32</xdr:row>
      <xdr:rowOff>34766</xdr:rowOff>
    </xdr:from>
    <xdr:to>
      <xdr:col>13</xdr:col>
      <xdr:colOff>949281</xdr:colOff>
      <xdr:row>32</xdr:row>
      <xdr:rowOff>260173</xdr:rowOff>
    </xdr:to>
    <xdr:pic>
      <xdr:nvPicPr>
        <xdr:cNvPr id="41" name="Picture 40">
          <a:extLst>
            <a:ext uri="{FF2B5EF4-FFF2-40B4-BE49-F238E27FC236}">
              <a16:creationId xmlns:a16="http://schemas.microsoft.com/office/drawing/2014/main" id="{00000000-0008-0000-0000-00002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11" t="25613" r="72181" b="59191"/>
        <a:stretch/>
      </xdr:blipFill>
      <xdr:spPr>
        <a:xfrm>
          <a:off x="9987518169" y="8588216"/>
          <a:ext cx="290848" cy="225407"/>
        </a:xfrm>
        <a:prstGeom prst="rect">
          <a:avLst/>
        </a:prstGeom>
      </xdr:spPr>
    </xdr:pic>
    <xdr:clientData/>
  </xdr:twoCellAnchor>
  <xdr:twoCellAnchor editAs="oneCell">
    <xdr:from>
      <xdr:col>12</xdr:col>
      <xdr:colOff>494872</xdr:colOff>
      <xdr:row>35</xdr:row>
      <xdr:rowOff>39914</xdr:rowOff>
    </xdr:from>
    <xdr:to>
      <xdr:col>12</xdr:col>
      <xdr:colOff>729797</xdr:colOff>
      <xdr:row>35</xdr:row>
      <xdr:rowOff>257175</xdr:rowOff>
    </xdr:to>
    <xdr:pic>
      <xdr:nvPicPr>
        <xdr:cNvPr id="43" name="Picture 42">
          <a:extLst>
            <a:ext uri="{FF2B5EF4-FFF2-40B4-BE49-F238E27FC236}">
              <a16:creationId xmlns:a16="http://schemas.microsoft.com/office/drawing/2014/main" id="{00000000-0008-0000-0000-00002B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42553" y="8279039"/>
          <a:ext cx="234925" cy="217261"/>
        </a:xfrm>
        <a:prstGeom prst="rect">
          <a:avLst/>
        </a:prstGeom>
      </xdr:spPr>
    </xdr:pic>
    <xdr:clientData/>
  </xdr:twoCellAnchor>
  <xdr:twoCellAnchor editAs="oneCell">
    <xdr:from>
      <xdr:col>12</xdr:col>
      <xdr:colOff>437722</xdr:colOff>
      <xdr:row>15</xdr:row>
      <xdr:rowOff>30389</xdr:rowOff>
    </xdr:from>
    <xdr:to>
      <xdr:col>12</xdr:col>
      <xdr:colOff>672647</xdr:colOff>
      <xdr:row>15</xdr:row>
      <xdr:rowOff>247650</xdr:rowOff>
    </xdr:to>
    <xdr:pic>
      <xdr:nvPicPr>
        <xdr:cNvPr id="44" name="Picture 43">
          <a:extLst>
            <a:ext uri="{FF2B5EF4-FFF2-40B4-BE49-F238E27FC236}">
              <a16:creationId xmlns:a16="http://schemas.microsoft.com/office/drawing/2014/main" id="{00000000-0008-0000-0000-00002C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99703" y="3354614"/>
          <a:ext cx="234925" cy="217261"/>
        </a:xfrm>
        <a:prstGeom prst="rect">
          <a:avLst/>
        </a:prstGeom>
      </xdr:spPr>
    </xdr:pic>
    <xdr:clientData/>
  </xdr:twoCellAnchor>
  <xdr:oneCellAnchor>
    <xdr:from>
      <xdr:col>12</xdr:col>
      <xdr:colOff>437722</xdr:colOff>
      <xdr:row>16</xdr:row>
      <xdr:rowOff>39914</xdr:rowOff>
    </xdr:from>
    <xdr:ext cx="234925" cy="217261"/>
    <xdr:pic>
      <xdr:nvPicPr>
        <xdr:cNvPr id="45" name="Picture 44">
          <a:extLst>
            <a:ext uri="{FF2B5EF4-FFF2-40B4-BE49-F238E27FC236}">
              <a16:creationId xmlns:a16="http://schemas.microsoft.com/office/drawing/2014/main" id="{00000000-0008-0000-0000-00002D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99703" y="3668939"/>
          <a:ext cx="234925" cy="217261"/>
        </a:xfrm>
        <a:prstGeom prst="rect">
          <a:avLst/>
        </a:prstGeom>
      </xdr:spPr>
    </xdr:pic>
    <xdr:clientData/>
  </xdr:oneCellAnchor>
  <xdr:oneCellAnchor>
    <xdr:from>
      <xdr:col>13</xdr:col>
      <xdr:colOff>591758</xdr:colOff>
      <xdr:row>16</xdr:row>
      <xdr:rowOff>34766</xdr:rowOff>
    </xdr:from>
    <xdr:ext cx="290848" cy="225407"/>
    <xdr:pic>
      <xdr:nvPicPr>
        <xdr:cNvPr id="46" name="Picture 45">
          <a:extLst>
            <a:ext uri="{FF2B5EF4-FFF2-40B4-BE49-F238E27FC236}">
              <a16:creationId xmlns:a16="http://schemas.microsoft.com/office/drawing/2014/main" id="{00000000-0008-0000-0000-00002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84844" y="7702391"/>
          <a:ext cx="290848" cy="225407"/>
        </a:xfrm>
        <a:prstGeom prst="rect">
          <a:avLst/>
        </a:prstGeom>
      </xdr:spPr>
    </xdr:pic>
    <xdr:clientData/>
  </xdr:oneCellAnchor>
  <xdr:oneCellAnchor>
    <xdr:from>
      <xdr:col>12</xdr:col>
      <xdr:colOff>437722</xdr:colOff>
      <xdr:row>17</xdr:row>
      <xdr:rowOff>39914</xdr:rowOff>
    </xdr:from>
    <xdr:ext cx="234925" cy="217261"/>
    <xdr:pic>
      <xdr:nvPicPr>
        <xdr:cNvPr id="47" name="Picture 46">
          <a:extLst>
            <a:ext uri="{FF2B5EF4-FFF2-40B4-BE49-F238E27FC236}">
              <a16:creationId xmlns:a16="http://schemas.microsoft.com/office/drawing/2014/main" id="{00000000-0008-0000-0000-00002F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99703" y="3954689"/>
          <a:ext cx="234925" cy="217261"/>
        </a:xfrm>
        <a:prstGeom prst="rect">
          <a:avLst/>
        </a:prstGeom>
      </xdr:spPr>
    </xdr:pic>
    <xdr:clientData/>
  </xdr:oneCellAnchor>
  <xdr:oneCellAnchor>
    <xdr:from>
      <xdr:col>12</xdr:col>
      <xdr:colOff>410783</xdr:colOff>
      <xdr:row>18</xdr:row>
      <xdr:rowOff>25241</xdr:rowOff>
    </xdr:from>
    <xdr:ext cx="290848" cy="225407"/>
    <xdr:pic>
      <xdr:nvPicPr>
        <xdr:cNvPr id="48" name="Picture 47">
          <a:extLst>
            <a:ext uri="{FF2B5EF4-FFF2-40B4-BE49-F238E27FC236}">
              <a16:creationId xmlns:a16="http://schemas.microsoft.com/office/drawing/2014/main" id="{00000000-0008-0000-0000-000030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8870719" y="4511516"/>
          <a:ext cx="290848" cy="225407"/>
        </a:xfrm>
        <a:prstGeom prst="rect">
          <a:avLst/>
        </a:prstGeom>
      </xdr:spPr>
    </xdr:pic>
    <xdr:clientData/>
  </xdr:oneCellAnchor>
  <xdr:oneCellAnchor>
    <xdr:from>
      <xdr:col>12</xdr:col>
      <xdr:colOff>447247</xdr:colOff>
      <xdr:row>20</xdr:row>
      <xdr:rowOff>39914</xdr:rowOff>
    </xdr:from>
    <xdr:ext cx="234925" cy="217261"/>
    <xdr:pic>
      <xdr:nvPicPr>
        <xdr:cNvPr id="51" name="Picture 50">
          <a:extLst>
            <a:ext uri="{FF2B5EF4-FFF2-40B4-BE49-F238E27FC236}">
              <a16:creationId xmlns:a16="http://schemas.microsoft.com/office/drawing/2014/main" id="{00000000-0008-0000-0000-000033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90178" y="5688239"/>
          <a:ext cx="234925" cy="217261"/>
        </a:xfrm>
        <a:prstGeom prst="rect">
          <a:avLst/>
        </a:prstGeom>
      </xdr:spPr>
    </xdr:pic>
    <xdr:clientData/>
  </xdr:oneCellAnchor>
  <xdr:oneCellAnchor>
    <xdr:from>
      <xdr:col>13</xdr:col>
      <xdr:colOff>610808</xdr:colOff>
      <xdr:row>20</xdr:row>
      <xdr:rowOff>34766</xdr:rowOff>
    </xdr:from>
    <xdr:ext cx="290848" cy="225407"/>
    <xdr:pic>
      <xdr:nvPicPr>
        <xdr:cNvPr id="52" name="Picture 51">
          <a:extLst>
            <a:ext uri="{FF2B5EF4-FFF2-40B4-BE49-F238E27FC236}">
              <a16:creationId xmlns:a16="http://schemas.microsoft.com/office/drawing/2014/main" id="{00000000-0008-0000-0000-00003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65794" y="5683091"/>
          <a:ext cx="290848" cy="225407"/>
        </a:xfrm>
        <a:prstGeom prst="rect">
          <a:avLst/>
        </a:prstGeom>
      </xdr:spPr>
    </xdr:pic>
    <xdr:clientData/>
  </xdr:oneCellAnchor>
  <xdr:twoCellAnchor editAs="oneCell">
    <xdr:from>
      <xdr:col>13</xdr:col>
      <xdr:colOff>677483</xdr:colOff>
      <xdr:row>35</xdr:row>
      <xdr:rowOff>34766</xdr:rowOff>
    </xdr:from>
    <xdr:to>
      <xdr:col>13</xdr:col>
      <xdr:colOff>968331</xdr:colOff>
      <xdr:row>35</xdr:row>
      <xdr:rowOff>260173</xdr:rowOff>
    </xdr:to>
    <xdr:pic>
      <xdr:nvPicPr>
        <xdr:cNvPr id="53" name="Picture 52">
          <a:extLst>
            <a:ext uri="{FF2B5EF4-FFF2-40B4-BE49-F238E27FC236}">
              <a16:creationId xmlns:a16="http://schemas.microsoft.com/office/drawing/2014/main" id="{00000000-0008-0000-0000-00003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499119" y="9445466"/>
          <a:ext cx="290848" cy="225407"/>
        </a:xfrm>
        <a:prstGeom prst="rect">
          <a:avLst/>
        </a:prstGeom>
      </xdr:spPr>
    </xdr:pic>
    <xdr:clientData/>
  </xdr:twoCellAnchor>
  <xdr:twoCellAnchor editAs="oneCell">
    <xdr:from>
      <xdr:col>12</xdr:col>
      <xdr:colOff>467933</xdr:colOff>
      <xdr:row>33</xdr:row>
      <xdr:rowOff>25241</xdr:rowOff>
    </xdr:from>
    <xdr:to>
      <xdr:col>12</xdr:col>
      <xdr:colOff>758781</xdr:colOff>
      <xdr:row>33</xdr:row>
      <xdr:rowOff>250648</xdr:rowOff>
    </xdr:to>
    <xdr:pic>
      <xdr:nvPicPr>
        <xdr:cNvPr id="54" name="Picture 53">
          <a:extLst>
            <a:ext uri="{FF2B5EF4-FFF2-40B4-BE49-F238E27FC236}">
              <a16:creationId xmlns:a16="http://schemas.microsoft.com/office/drawing/2014/main" id="{00000000-0008-0000-0000-00003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8813569" y="8864441"/>
          <a:ext cx="290848" cy="225407"/>
        </a:xfrm>
        <a:prstGeom prst="rect">
          <a:avLst/>
        </a:prstGeom>
      </xdr:spPr>
    </xdr:pic>
    <xdr:clientData/>
  </xdr:twoCellAnchor>
  <xdr:twoCellAnchor editAs="oneCell">
    <xdr:from>
      <xdr:col>13</xdr:col>
      <xdr:colOff>658433</xdr:colOff>
      <xdr:row>33</xdr:row>
      <xdr:rowOff>25241</xdr:rowOff>
    </xdr:from>
    <xdr:to>
      <xdr:col>13</xdr:col>
      <xdr:colOff>949281</xdr:colOff>
      <xdr:row>33</xdr:row>
      <xdr:rowOff>250648</xdr:rowOff>
    </xdr:to>
    <xdr:pic>
      <xdr:nvPicPr>
        <xdr:cNvPr id="55" name="Picture 54">
          <a:extLst>
            <a:ext uri="{FF2B5EF4-FFF2-40B4-BE49-F238E27FC236}">
              <a16:creationId xmlns:a16="http://schemas.microsoft.com/office/drawing/2014/main" id="{00000000-0008-0000-0000-00003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18169" y="8864441"/>
          <a:ext cx="290848" cy="225407"/>
        </a:xfrm>
        <a:prstGeom prst="rect">
          <a:avLst/>
        </a:prstGeom>
      </xdr:spPr>
    </xdr:pic>
    <xdr:clientData/>
  </xdr:twoCellAnchor>
  <xdr:twoCellAnchor editAs="oneCell">
    <xdr:from>
      <xdr:col>12</xdr:col>
      <xdr:colOff>485347</xdr:colOff>
      <xdr:row>34</xdr:row>
      <xdr:rowOff>39914</xdr:rowOff>
    </xdr:from>
    <xdr:to>
      <xdr:col>12</xdr:col>
      <xdr:colOff>720272</xdr:colOff>
      <xdr:row>34</xdr:row>
      <xdr:rowOff>257175</xdr:rowOff>
    </xdr:to>
    <xdr:pic>
      <xdr:nvPicPr>
        <xdr:cNvPr id="56" name="Picture 55">
          <a:extLst>
            <a:ext uri="{FF2B5EF4-FFF2-40B4-BE49-F238E27FC236}">
              <a16:creationId xmlns:a16="http://schemas.microsoft.com/office/drawing/2014/main" id="{00000000-0008-0000-0000-000038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52078" y="9164864"/>
          <a:ext cx="234925" cy="217261"/>
        </a:xfrm>
        <a:prstGeom prst="rect">
          <a:avLst/>
        </a:prstGeom>
      </xdr:spPr>
    </xdr:pic>
    <xdr:clientData/>
  </xdr:twoCellAnchor>
  <xdr:twoCellAnchor editAs="oneCell">
    <xdr:from>
      <xdr:col>13</xdr:col>
      <xdr:colOff>658433</xdr:colOff>
      <xdr:row>34</xdr:row>
      <xdr:rowOff>25241</xdr:rowOff>
    </xdr:from>
    <xdr:to>
      <xdr:col>13</xdr:col>
      <xdr:colOff>949281</xdr:colOff>
      <xdr:row>34</xdr:row>
      <xdr:rowOff>250648</xdr:rowOff>
    </xdr:to>
    <xdr:pic>
      <xdr:nvPicPr>
        <xdr:cNvPr id="59" name="Picture 58">
          <a:extLst>
            <a:ext uri="{FF2B5EF4-FFF2-40B4-BE49-F238E27FC236}">
              <a16:creationId xmlns:a16="http://schemas.microsoft.com/office/drawing/2014/main" id="{00000000-0008-0000-0000-00003B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18169" y="9150191"/>
          <a:ext cx="290848" cy="225407"/>
        </a:xfrm>
        <a:prstGeom prst="rect">
          <a:avLst/>
        </a:prstGeom>
      </xdr:spPr>
    </xdr:pic>
    <xdr:clientData/>
  </xdr:twoCellAnchor>
  <xdr:twoCellAnchor editAs="oneCell">
    <xdr:from>
      <xdr:col>13</xdr:col>
      <xdr:colOff>597392</xdr:colOff>
      <xdr:row>17</xdr:row>
      <xdr:rowOff>31949</xdr:rowOff>
    </xdr:from>
    <xdr:to>
      <xdr:col>13</xdr:col>
      <xdr:colOff>888240</xdr:colOff>
      <xdr:row>17</xdr:row>
      <xdr:rowOff>257356</xdr:rowOff>
    </xdr:to>
    <xdr:pic>
      <xdr:nvPicPr>
        <xdr:cNvPr id="62" name="Picture 61">
          <a:extLst>
            <a:ext uri="{FF2B5EF4-FFF2-40B4-BE49-F238E27FC236}">
              <a16:creationId xmlns:a16="http://schemas.microsoft.com/office/drawing/2014/main" id="{00000000-0008-0000-0000-00003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11" t="25613" r="72181" b="59191"/>
        <a:stretch/>
      </xdr:blipFill>
      <xdr:spPr>
        <a:xfrm>
          <a:off x="9987579210" y="4232474"/>
          <a:ext cx="290848" cy="225407"/>
        </a:xfrm>
        <a:prstGeom prst="rect">
          <a:avLst/>
        </a:prstGeom>
      </xdr:spPr>
    </xdr:pic>
    <xdr:clientData/>
  </xdr:twoCellAnchor>
  <xdr:oneCellAnchor>
    <xdr:from>
      <xdr:col>13</xdr:col>
      <xdr:colOff>601283</xdr:colOff>
      <xdr:row>18</xdr:row>
      <xdr:rowOff>34766</xdr:rowOff>
    </xdr:from>
    <xdr:ext cx="290848" cy="225407"/>
    <xdr:pic>
      <xdr:nvPicPr>
        <xdr:cNvPr id="63" name="Picture 62">
          <a:extLst>
            <a:ext uri="{FF2B5EF4-FFF2-40B4-BE49-F238E27FC236}">
              <a16:creationId xmlns:a16="http://schemas.microsoft.com/office/drawing/2014/main" id="{00000000-0008-0000-0000-00003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75319" y="4521041"/>
          <a:ext cx="290848" cy="225407"/>
        </a:xfrm>
        <a:prstGeom prst="rect">
          <a:avLst/>
        </a:prstGeom>
      </xdr:spPr>
    </xdr:pic>
    <xdr:clientData/>
  </xdr:oneCellAnchor>
  <xdr:twoCellAnchor editAs="oneCell">
    <xdr:from>
      <xdr:col>12</xdr:col>
      <xdr:colOff>448883</xdr:colOff>
      <xdr:row>25</xdr:row>
      <xdr:rowOff>34766</xdr:rowOff>
    </xdr:from>
    <xdr:to>
      <xdr:col>12</xdr:col>
      <xdr:colOff>739731</xdr:colOff>
      <xdr:row>25</xdr:row>
      <xdr:rowOff>260173</xdr:rowOff>
    </xdr:to>
    <xdr:pic>
      <xdr:nvPicPr>
        <xdr:cNvPr id="64" name="Picture 63">
          <a:extLst>
            <a:ext uri="{FF2B5EF4-FFF2-40B4-BE49-F238E27FC236}">
              <a16:creationId xmlns:a16="http://schemas.microsoft.com/office/drawing/2014/main" id="{00000000-0008-0000-0000-000040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8832619" y="6568916"/>
          <a:ext cx="290848" cy="225407"/>
        </a:xfrm>
        <a:prstGeom prst="rect">
          <a:avLst/>
        </a:prstGeom>
      </xdr:spPr>
    </xdr:pic>
    <xdr:clientData/>
  </xdr:twoCellAnchor>
  <xdr:twoCellAnchor editAs="oneCell">
    <xdr:from>
      <xdr:col>13</xdr:col>
      <xdr:colOff>978412</xdr:colOff>
      <xdr:row>12</xdr:row>
      <xdr:rowOff>59873</xdr:rowOff>
    </xdr:from>
    <xdr:to>
      <xdr:col>13</xdr:col>
      <xdr:colOff>1343705</xdr:colOff>
      <xdr:row>13</xdr:row>
      <xdr:rowOff>178593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031610938" y="2993913"/>
          <a:ext cx="365293" cy="356846"/>
        </a:xfrm>
        <a:prstGeom prst="rect">
          <a:avLst/>
        </a:prstGeom>
      </xdr:spPr>
    </xdr:pic>
    <xdr:clientData/>
  </xdr:twoCellAnchor>
  <xdr:oneCellAnchor>
    <xdr:from>
      <xdr:col>12</xdr:col>
      <xdr:colOff>453572</xdr:colOff>
      <xdr:row>19</xdr:row>
      <xdr:rowOff>39914</xdr:rowOff>
    </xdr:from>
    <xdr:ext cx="234925" cy="217261"/>
    <xdr:pic>
      <xdr:nvPicPr>
        <xdr:cNvPr id="49" name="Picture 48">
          <a:extLst>
            <a:ext uri="{FF2B5EF4-FFF2-40B4-BE49-F238E27FC236}">
              <a16:creationId xmlns:a16="http://schemas.microsoft.com/office/drawing/2014/main" id="{00000000-0008-0000-0000-000031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68" t="54523" r="72115" b="27352"/>
        <a:stretch/>
      </xdr:blipFill>
      <xdr:spPr>
        <a:xfrm>
          <a:off x="9988883853" y="4897664"/>
          <a:ext cx="234925" cy="217261"/>
        </a:xfrm>
        <a:prstGeom prst="rect">
          <a:avLst/>
        </a:prstGeom>
      </xdr:spPr>
    </xdr:pic>
    <xdr:clientData/>
  </xdr:oneCellAnchor>
  <xdr:oneCellAnchor>
    <xdr:from>
      <xdr:col>13</xdr:col>
      <xdr:colOff>606381</xdr:colOff>
      <xdr:row>19</xdr:row>
      <xdr:rowOff>25241</xdr:rowOff>
    </xdr:from>
    <xdr:ext cx="290848" cy="225407"/>
    <xdr:pic>
      <xdr:nvPicPr>
        <xdr:cNvPr id="50" name="Picture 49">
          <a:extLst>
            <a:ext uri="{FF2B5EF4-FFF2-40B4-BE49-F238E27FC236}">
              <a16:creationId xmlns:a16="http://schemas.microsoft.com/office/drawing/2014/main" id="{00000000-0008-0000-0000-00003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211" t="25613" r="72181" b="59191"/>
        <a:stretch/>
      </xdr:blipFill>
      <xdr:spPr>
        <a:xfrm>
          <a:off x="9987570221" y="4882991"/>
          <a:ext cx="290848" cy="22540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2</xdr:row>
      <xdr:rowOff>47624</xdr:rowOff>
    </xdr:from>
    <xdr:to>
      <xdr:col>5</xdr:col>
      <xdr:colOff>161925</xdr:colOff>
      <xdr:row>23</xdr:row>
      <xdr:rowOff>133349</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21018867">
          <a:off x="9985762350" y="438149"/>
          <a:ext cx="3686175" cy="3686175"/>
        </a:xfrm>
        <a:prstGeom prst="rect">
          <a:avLst/>
        </a:prstGeom>
      </xdr:spPr>
    </xdr:pic>
    <xdr:clientData/>
  </xdr:twoCellAnchor>
  <xdr:twoCellAnchor>
    <xdr:from>
      <xdr:col>1</xdr:col>
      <xdr:colOff>499103</xdr:colOff>
      <xdr:row>11</xdr:row>
      <xdr:rowOff>66448</xdr:rowOff>
    </xdr:from>
    <xdr:to>
      <xdr:col>5</xdr:col>
      <xdr:colOff>50</xdr:colOff>
      <xdr:row>15</xdr:row>
      <xdr:rowOff>110942</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rot="19947022">
          <a:off x="9985581325" y="2000023"/>
          <a:ext cx="3406197" cy="73029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fa-IR" sz="3200" b="1">
              <a:solidFill>
                <a:srgbClr val="FF0000"/>
              </a:solidFill>
              <a:latin typeface="Sahel" panose="020B0603030804020204" pitchFamily="34" charset="-78"/>
              <a:cs typeface="Sahel" panose="020B0603030804020204" pitchFamily="34" charset="-78"/>
            </a:rPr>
            <a:t>فقط در نسخه</a:t>
          </a:r>
          <a:r>
            <a:rPr lang="fa-IR" sz="3200" b="1" baseline="0">
              <a:solidFill>
                <a:srgbClr val="FF0000"/>
              </a:solidFill>
              <a:latin typeface="Sahel" panose="020B0603030804020204" pitchFamily="34" charset="-78"/>
              <a:cs typeface="Sahel" panose="020B0603030804020204" pitchFamily="34" charset="-78"/>
            </a:rPr>
            <a:t> کامل</a:t>
          </a:r>
          <a:endParaRPr lang="en-US" sz="3200" b="1">
            <a:solidFill>
              <a:srgbClr val="FF0000"/>
            </a:solidFill>
            <a:latin typeface="Sahel" panose="020B0603030804020204" pitchFamily="34" charset="-78"/>
            <a:cs typeface="Sahel" panose="020B0603030804020204" pitchFamily="34" charset="-78"/>
          </a:endParaRPr>
        </a:p>
      </xdr:txBody>
    </xdr:sp>
    <xdr:clientData/>
  </xdr:twoCellAnchor>
  <xdr:twoCellAnchor>
    <xdr:from>
      <xdr:col>8</xdr:col>
      <xdr:colOff>104775</xdr:colOff>
      <xdr:row>5</xdr:row>
      <xdr:rowOff>28576</xdr:rowOff>
    </xdr:from>
    <xdr:to>
      <xdr:col>8</xdr:col>
      <xdr:colOff>533400</xdr:colOff>
      <xdr:row>6</xdr:row>
      <xdr:rowOff>104776</xdr:rowOff>
    </xdr:to>
    <xdr:sp macro="" textlink="">
      <xdr:nvSpPr>
        <xdr:cNvPr id="2" name="Right Arrow 1">
          <a:extLst>
            <a:ext uri="{FF2B5EF4-FFF2-40B4-BE49-F238E27FC236}">
              <a16:creationId xmlns:a16="http://schemas.microsoft.com/office/drawing/2014/main" id="{00000000-0008-0000-0200-000002000000}"/>
            </a:ext>
          </a:extLst>
        </xdr:cNvPr>
        <xdr:cNvSpPr/>
      </xdr:nvSpPr>
      <xdr:spPr>
        <a:xfrm>
          <a:off x="9983266800" y="933451"/>
          <a:ext cx="42862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editAs="oneCell">
    <xdr:from>
      <xdr:col>13</xdr:col>
      <xdr:colOff>216196</xdr:colOff>
      <xdr:row>14</xdr:row>
      <xdr:rowOff>129437</xdr:rowOff>
    </xdr:from>
    <xdr:to>
      <xdr:col>14</xdr:col>
      <xdr:colOff>501521</xdr:colOff>
      <xdr:row>19</xdr:row>
      <xdr:rowOff>146418</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8945754" y="2577362"/>
          <a:ext cx="894925" cy="8742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123826</xdr:colOff>
      <xdr:row>15</xdr:row>
      <xdr:rowOff>123825</xdr:rowOff>
    </xdr:from>
    <xdr:to>
      <xdr:col>9</xdr:col>
      <xdr:colOff>946319</xdr:colOff>
      <xdr:row>19</xdr:row>
      <xdr:rowOff>12899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663506" y="3486150"/>
          <a:ext cx="822493" cy="803474"/>
        </a:xfrm>
        <a:prstGeom prst="rect">
          <a:avLst/>
        </a:prstGeom>
      </xdr:spPr>
    </xdr:pic>
    <xdr:clientData/>
  </xdr:twoCellAnchor>
  <xdr:twoCellAnchor editAs="oneCell">
    <xdr:from>
      <xdr:col>9</xdr:col>
      <xdr:colOff>838200</xdr:colOff>
      <xdr:row>2</xdr:row>
      <xdr:rowOff>142874</xdr:rowOff>
    </xdr:from>
    <xdr:to>
      <xdr:col>10</xdr:col>
      <xdr:colOff>250994</xdr:colOff>
      <xdr:row>4</xdr:row>
      <xdr:rowOff>126263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3320606" y="571499"/>
          <a:ext cx="451019" cy="440589"/>
        </a:xfrm>
        <a:prstGeom prst="rect">
          <a:avLst/>
        </a:prstGeom>
      </xdr:spPr>
    </xdr:pic>
    <xdr:clientData/>
  </xdr:twoCellAnchor>
</xdr:wsDr>
</file>

<file path=xl/tables/table1.xml><?xml version="1.0" encoding="utf-8"?>
<table xmlns="http://schemas.openxmlformats.org/spreadsheetml/2006/main" id="2" name="data" displayName="data" ref="A6:AJ11" totalsRowShown="0" headerRowDxfId="102" dataDxfId="100" headerRowBorderDxfId="101" tableBorderDxfId="99" totalsRowBorderDxfId="98">
  <autoFilter ref="A6:AJ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0" name="ردیف" dataDxfId="97"/>
    <tableColumn id="1" name="شماره پرسنلی" dataDxfId="96"/>
    <tableColumn id="2" name="نام" dataDxfId="95"/>
    <tableColumn id="3" name="نام خانوادگی" dataDxfId="94"/>
    <tableColumn id="4" name="سمت" dataDxfId="93"/>
    <tableColumn id="5" name="کارکرد کل (روز)" dataDxfId="92">
      <calculatedColumnFormula>INDEX(Table1[روزهای ماه], MATCH('داده ها'!$C$2,Table1[ماه],0))</calculatedColumnFormula>
    </tableColumn>
    <tableColumn id="6" name="کارکرد واقعی (ساعت)" dataDxfId="91"/>
    <tableColumn id="7" name="مرخصی استحقاقی(ساعت)" dataDxfId="90"/>
    <tableColumn id="30" name="مانده مرخصی استحقاقی ماه (ساعت)" dataDxfId="89">
      <calculatedColumnFormula>تنظیمات!$B$9-data[[#This Row],[مرخصی استحقاقی(ساعت)]]</calculatedColumnFormula>
    </tableColumn>
    <tableColumn id="18" name="خالص با مرخصی" dataDxfId="88">
      <calculatedColumnFormula>data[[#This Row],[کارکرد واقعی (ساعت)]]+IF(data[[#This Row],[مانده مرخصی استحقاقی ماه (ساعت)]]&gt;=0,data[[#This Row],[مرخصی استحقاقی(ساعت)]],تنظیمات!$B$9)</calculatedColumnFormula>
    </tableColumn>
    <tableColumn id="29" name="شب کاری (ساعت)" dataDxfId="87"/>
    <tableColumn id="31" name="جمعه کاری (ساعت)" dataDxfId="86"/>
    <tableColumn id="32" name="تعطیل کاری (ساعت)" dataDxfId="85"/>
    <tableColumn id="19" name="کسر ساعت ناهار و نماز و..." dataDxfId="84"/>
    <tableColumn id="27" name="خالص کارکرد (ساعت)" dataDxfId="83">
      <calculatedColumnFormula>data[[#This Row],[کارکرد واقعی (ساعت)]]-data[[#This Row],[کسر ساعت ناهار و نماز و...]]</calculatedColumnFormula>
    </tableColumn>
    <tableColumn id="35" name="ساعت کار موظفی" dataDxfId="82">
      <calculatedColumnFormula>INDEX(Table1[ساعت کار موظفی],MATCH('داده ها'!$C$2,Table1[ماه],0))/24</calculatedColumnFormula>
    </tableColumn>
    <tableColumn id="13" name="اضافه کار (ساعت)" dataDxfId="81">
      <calculatedColumnFormula>IF(data[[#This Row],[خالص کارکرد (ساعت)]]-data[[#This Row],[ساعت کار موظفی]]&lt;0,0,(data[[#This Row],[خالص کارکرد (ساعت)]])-data[[#This Row],[ساعت کار موظفی]])-((SUM(data[[#This Row],[شب کاری (ساعت)]:[تعطیل کاری (ساعت)]]))*24)/24</calculatedColumnFormula>
    </tableColumn>
    <tableColumn id="14" name="کسرکار (ساعت)" dataDxfId="80">
      <calculatedColumnFormula>IF(INDEX(Table1[ساعت کار موظفی],MATCH('داده ها'!$C$2,Table1[ماه],0))-(data[[#This Row],[خالص کارکرد (ساعت)]]*24)&lt;0,0,INDEX(Table1[ساعت کار موظفی],MATCH('داده ها'!$C$2,Table1[ماه],0))-(data[[#This Row],[خالص کارکرد (ساعت)]]*24))/24+ABS(IF(تنظیمات!$B$9-data[[#This Row],[مرخصی استحقاقی(ساعت)]]&lt;0,تنظیمات!$B$9-data[[#This Row],[مرخصی استحقاقی(ساعت)]],0))</calculatedColumnFormula>
    </tableColumn>
    <tableColumn id="8" name="مزد ثابت" dataDxfId="79">
      <calculatedColumnFormula>تنظیمات!$B$4</calculatedColumnFormula>
    </tableColumn>
    <tableColumn id="9" name="پایه سنوات تجمیعی" dataDxfId="78"/>
    <tableColumn id="11" name="مزد روزانه" dataDxfId="77">
      <calculatedColumnFormula>data[[#This Row],[مزد ثابت]]</calculatedColumnFormula>
    </tableColumn>
    <tableColumn id="34" name="مزد ساعتی" dataDxfId="76" dataCellStyle="Comma">
      <calculatedColumnFormula>data[[#This Row],[مزد روزانه]]/(تنظیمات!$B$7*24)</calculatedColumnFormula>
    </tableColumn>
    <tableColumn id="12" name="حقوق پایه" dataDxfId="75">
      <calculatedColumnFormula>data[[#This Row],[مزد روزانه]]*data[[#This Row],[کارکرد کل (روز)]]</calculatedColumnFormula>
    </tableColumn>
    <tableColumn id="33" name="نسبت کارکرد" dataDxfId="74" dataCellStyle="Comma">
      <calculatedColumnFormula>data[[#This Row],[کارکرد کل (روز)]]/INDEX(Table1[روزهای ماه],MATCH('داده ها'!$C$2,Table1[ماه],0))</calculatedColumnFormula>
    </tableColumn>
    <tableColumn id="15" name="حق مسکن" dataDxfId="73" dataCellStyle="Comma">
      <calculatedColumnFormula>تنظیمات!$B$5*data[[#This Row],[نسبت کارکرد]]</calculatedColumnFormula>
    </tableColumn>
    <tableColumn id="16" name="بن کارگری" dataDxfId="72" dataCellStyle="Comma">
      <calculatedColumnFormula>تنظیمات!$B$6*data[[#This Row],[نسبت کارکرد]]</calculatedColumnFormula>
    </tableColumn>
    <tableColumn id="17" name="تعداد اولاد مشمول" dataDxfId="71"/>
    <tableColumn id="36" name="سابقه" dataDxfId="70"/>
    <tableColumn id="28" name="پاداش افزایش تولید" dataDxfId="69"/>
    <tableColumn id="20" name="سایر مزایا" dataDxfId="68"/>
    <tableColumn id="21" name="جریمه" dataDxfId="67"/>
    <tableColumn id="22" name="وام" dataDxfId="66"/>
    <tableColumn id="23" name="مساعده" dataDxfId="65"/>
    <tableColumn id="24" name="سایر کسورات" dataDxfId="64"/>
    <tableColumn id="25" name="شماره حساب/کارت" dataDxfId="63"/>
    <tableColumn id="26" name="توضیحات فیش حقوقی" dataDxfId="62"/>
  </tableColumns>
  <tableStyleInfo showFirstColumn="0" showLastColumn="0" showRowStripes="1" showColumnStripes="0"/>
</table>
</file>

<file path=xl/tables/table2.xml><?xml version="1.0" encoding="utf-8"?>
<table xmlns="http://schemas.openxmlformats.org/spreadsheetml/2006/main" id="3" name="list" displayName="list" ref="A4:AL9" totalsRowShown="0" headerRowDxfId="61" dataDxfId="60">
  <autoFilter ref="A4:AL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autoFilter>
  <tableColumns count="38">
    <tableColumn id="28" name="ردیف" dataDxfId="59">
      <calculatedColumnFormula>INDEX(data[ردیف],ROW()-4)</calculatedColumnFormula>
    </tableColumn>
    <tableColumn id="1" name="شماره پرسنلی" dataDxfId="58">
      <calculatedColumnFormula>INDEX(data[شماره پرسنلی],MATCH(list[[#This Row],[ردیف]],data[ردیف],0))</calculatedColumnFormula>
    </tableColumn>
    <tableColumn id="2" name="نام" dataDxfId="57">
      <calculatedColumnFormula>INDEX(data[نام],MATCH(list[[#This Row],[شماره پرسنلی]],data[شماره پرسنلی],0))</calculatedColumnFormula>
    </tableColumn>
    <tableColumn id="3" name="نام خانوادگی" dataDxfId="56">
      <calculatedColumnFormula>INDEX(data[نام خانوادگی],MATCH(list[[#This Row],[شماره پرسنلی]],data[شماره پرسنلی],0))</calculatedColumnFormula>
    </tableColumn>
    <tableColumn id="4" name="سمت" dataDxfId="55">
      <calculatedColumnFormula>INDEX(data[سمت],MATCH(list[[#This Row],[شماره پرسنلی]],data[شماره پرسنلی],0))</calculatedColumnFormula>
    </tableColumn>
    <tableColumn id="5" name="کارکرد کل (روز)" dataDxfId="54">
      <calculatedColumnFormula>INDEX(data[کارکرد کل (روز)],MATCH(list[[#This Row],[شماره پرسنلی]],data[شماره پرسنلی],0))</calculatedColumnFormula>
    </tableColumn>
    <tableColumn id="6" name="کارکرد خالص (ساعت)" dataDxfId="53">
      <calculatedColumnFormula>INDEX(data[خالص کارکرد (ساعت)],MATCH(list[[#This Row],[شماره پرسنلی]],data[شماره پرسنلی],0))</calculatedColumnFormula>
    </tableColumn>
    <tableColumn id="8" name="مزد ثابت" dataDxfId="52" dataCellStyle="Comma">
      <calculatedColumnFormula>INDEX(data[مزد ثابت],MATCH(list[[#This Row],[شماره پرسنلی]],data[شماره پرسنلی],0))</calculatedColumnFormula>
    </tableColumn>
    <tableColumn id="9" name="پایه سنوات تجمیعی" dataDxfId="51" dataCellStyle="Comma">
      <calculatedColumnFormula>INDEX(data[پایه سنوات تجمیعی],MATCH(list[[#This Row],[شماره پرسنلی]],data[شماره پرسنلی],0))</calculatedColumnFormula>
    </tableColumn>
    <tableColumn id="11" name="مزد روزانه" dataDxfId="50" dataCellStyle="Comma">
      <calculatedColumnFormula>INDEX(data[مزد روزانه],MATCH(list[[#This Row],[شماره پرسنلی]],data[شماره پرسنلی],0))</calculatedColumnFormula>
    </tableColumn>
    <tableColumn id="38" name="مزد ساعتی" dataDxfId="49" dataCellStyle="Comma">
      <calculatedColumnFormula>INDEX(data[مزد ساعتی],MATCH(list[[#This Row],[شماره پرسنلی]],data[شماره پرسنلی],0))</calculatedColumnFormula>
    </tableColumn>
    <tableColumn id="12" name="حقوق پایه" dataDxfId="48" dataCellStyle="Comma">
      <calculatedColumnFormula>INDEX(data[حقوق پایه],MATCH(list[[#This Row],[شماره پرسنلی]],data[شماره پرسنلی],0))</calculatedColumnFormula>
    </tableColumn>
    <tableColumn id="7" name="فوق العاده اضافه کاری" dataDxfId="47" dataCellStyle="Comma">
      <calculatedColumnFormula>INDEX(data[اضافه کار (ساعت)],MATCH(list[[#This Row],[شماره پرسنلی]],data[شماره پرسنلی],0))*24*list[[#This Row],[مزد ساعتی]]*1.4</calculatedColumnFormula>
    </tableColumn>
    <tableColumn id="14" name="فوق العاده شبکاری" dataDxfId="46" dataCellStyle="Comma">
      <calculatedColumnFormula>INDEX(data[شب کاری (ساعت)],MATCH(list[[#This Row],[شماره پرسنلی]],data[شماره پرسنلی],0))*24*list[[#This Row],[مزد ساعتی]]*1.35</calculatedColumnFormula>
    </tableColumn>
    <tableColumn id="17" name="فوق العاده جمعه کاری" dataDxfId="45" dataCellStyle="Comma">
      <calculatedColumnFormula>INDEX(data[جمعه کاری (ساعت)],MATCH(list[[#This Row],[شماره پرسنلی]],data[شماره پرسنلی],0))*24*list[[#This Row],[مزد ساعتی]]*تنظیمات!$B$8</calculatedColumnFormula>
    </tableColumn>
    <tableColumn id="35" name="فوق العاده تعطیل کاری" dataDxfId="44" dataCellStyle="Comma">
      <calculatedColumnFormula>INDEX(data[تعطیل کاری (ساعت)],MATCH(list[[#This Row],[شماره پرسنلی]],data[شماره پرسنلی],0))*24*list[[#This Row],[مزد ساعتی]]*1.4</calculatedColumnFormula>
    </tableColumn>
    <tableColumn id="15" name="حق مسکن" dataDxfId="43" dataCellStyle="Comma">
      <calculatedColumnFormula>INDEX(data[حق مسکن],MATCH(list[[#This Row],[شماره پرسنلی]],data[شماره پرسنلی],0))</calculatedColumnFormula>
    </tableColumn>
    <tableColumn id="16" name="بن کارگری" dataDxfId="42" dataCellStyle="Comma">
      <calculatedColumnFormula>INDEX(data[بن کارگری],MATCH(list[[#This Row],[شماره پرسنلی]],data[شماره پرسنلی],0))</calculatedColumnFormula>
    </tableColumn>
    <tableColumn id="10" name="حق اولاد" dataDxfId="41" dataCellStyle="Comma">
      <calculatedColumnFormula>7920000*INDEX(data[تعداد اولاد مشمول],MATCH(list[[#This Row],[شماره پرسنلی]],data[شماره پرسنلی],0))*INDEX(data[نسبت کارکرد],MATCH(list[[#This Row],[شماره پرسنلی]],data[شماره پرسنلی],0))</calculatedColumnFormula>
    </tableColumn>
    <tableColumn id="37" name="سابقه (ماه)" dataDxfId="40" dataCellStyle="Comma"/>
    <tableColumn id="18" name="حق سنوات" dataDxfId="39" dataCellStyle="Comma"/>
    <tableColumn id="19" name="عیدی و پاداش" dataDxfId="38" dataCellStyle="Comma"/>
    <tableColumn id="13" name="پاداش افزایش تولید" dataDxfId="37" dataCellStyle="Comma"/>
    <tableColumn id="20" name="سایر مزایا" dataDxfId="36" dataCellStyle="Comma"/>
    <tableColumn id="25" name="مجموع پرداختی" dataDxfId="35" dataCellStyle="Comma">
      <calculatedColumnFormula>SUM(list[[#This Row],[حقوق پایه]:[حق اولاد]])</calculatedColumnFormula>
    </tableColumn>
    <tableColumn id="27" name="کسرکار" dataDxfId="34" dataCellStyle="Comma">
      <calculatedColumnFormula>INDEX(data[کسرکار (ساعت)],MATCH(list[[#This Row],[شماره پرسنلی]],data[شماره پرسنلی],0))*24*list[[#This Row],[مزد روزانه]]/(تنظیمات!$B$7*24)</calculatedColumnFormula>
    </tableColumn>
    <tableColumn id="21" name="جریمه" dataDxfId="33" dataCellStyle="Comma"/>
    <tableColumn id="22" name="وام" dataDxfId="32" dataCellStyle="Comma"/>
    <tableColumn id="23" name="مساعده" dataDxfId="31" dataCellStyle="Comma"/>
    <tableColumn id="24" name="سایر کسورات" dataDxfId="30" dataCellStyle="Comma"/>
    <tableColumn id="29" name="مشمول مالیات" dataDxfId="29" dataCellStyle="Comma">
      <calculatedColumnFormula>SUM(list[[#This Row],[حقوق پایه]:[عیدی و پاداش]])-list[[#This Row],[حق اولاد]]-list[[#This Row],[حق سنوات]]-(list[[#This Row],[عیدی و پاداش]]-(معافیت_ماهانه_پله1*(list[[#This Row],[سابقه (ماه)]]/12)))-list[[#This Row],[سابقه (ماه)]]</calculatedColumnFormula>
    </tableColumn>
    <tableColumn id="30" name="مالیات متعلق" dataDxfId="28" dataCellStyle="Comma">
      <calculatedColumnFormula>IF(list[[#This Row],[مشمول مالیات]]&gt;=تنظیمات!$E$3,MIN(list[[#This Row],[مشمول مالیات]]-تنظیمات!$E$3,تنظیمات!$E$4-تنظیمات!$E$3)*تنظیمات!$F$3)+IF(list[[#This Row],[مشمول مالیات]]&gt;=تنظیمات!$E$4,MIN(list[[#This Row],[مشمول مالیات]]-تنظیمات!$E$4,تنظیمات!$E$5-تنظیمات!$E$4)*تنظیمات!$F$4)+IF(list[[#This Row],[مشمول مالیات]]&gt;=تنظیمات!$E$5,MIN(list[[#This Row],[مشمول مالیات]]-تنظیمات!$E$5,تنظیمات!$E$6-تنظیمات!$E$5)*تنظیمات!$F$5)+IF(list[[#This Row],[مشمول مالیات]]&gt;=تنظیمات!$E$6,MIN(list[[#This Row],[مشمول مالیات]]-تنظیمات!$E$6,تنظیمات!$E$7-تنظیمات!$E$6)*تنظیمات!$F$6)+IF(list[[#This Row],[مشمول مالیات]]&gt;=تنظیمات!$E$7,MIN(list[[#This Row],[مشمول مالیات]]-تنظیمات!$E$7,تنظیمات!$E$8-تنظیمات!$E$7)*تنظیمات!$F$7)+IF(list[[#This Row],[مشمول مالیات]]&gt;=تنظیمات!$E$8,(list[[#This Row],[مشمول مالیات]]-تنظیمات!$E$8)*تنظیمات!$F$8)</calculatedColumnFormula>
    </tableColumn>
    <tableColumn id="31" name="مشمول بیمه" dataDxfId="27" dataCellStyle="Comma">
      <calculatedColumnFormula>SUM(list[[#This Row],[حقوق پایه]:[بن کارگری]])</calculatedColumnFormula>
    </tableColumn>
    <tableColumn id="32" name="بیمه سهم کارگر(7%)" dataDxfId="26" dataCellStyle="Comma">
      <calculatedColumnFormula>list[[#This Row],[مشمول بیمه]]*0.07</calculatedColumnFormula>
    </tableColumn>
    <tableColumn id="33" name="بیمه سهم کارفرما (20%)" dataDxfId="25" dataCellStyle="Comma">
      <calculatedColumnFormula>list[[#This Row],[مشمول بیمه]]*0.2</calculatedColumnFormula>
    </tableColumn>
    <tableColumn id="34" name="بیمه بیکاری (3%)" dataDxfId="24" dataCellStyle="Comma">
      <calculatedColumnFormula>list[[#This Row],[مشمول بیمه]]*0.03</calculatedColumnFormula>
    </tableColumn>
    <tableColumn id="26" name="مجموع کسورات" dataDxfId="23" dataCellStyle="Comma">
      <calculatedColumnFormula>SUM(list[[#This Row],[بیمه سهم کارگر(7%)]],list[[#This Row],[کسرکار]])</calculatedColumnFormula>
    </tableColumn>
    <tableColumn id="36" name="خالص پرداختی" dataDxfId="22" dataCellStyle="Comma">
      <calculatedColumnFormula>list[[#This Row],[مجموع پرداختی]]-list[[#This Row],[مجموع کسورات]]</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1" name="Table1" displayName="Table1" ref="A12:F25" totalsRowCount="1" headerRowDxfId="21" dataDxfId="19" totalsRowDxfId="17" headerRowBorderDxfId="20" tableBorderDxfId="18" totalsRowBorderDxfId="16">
  <autoFilter ref="A12:F24">
    <filterColumn colId="0" hiddenButton="1"/>
    <filterColumn colId="1" hiddenButton="1"/>
    <filterColumn colId="2" hiddenButton="1"/>
    <filterColumn colId="3" hiddenButton="1"/>
    <filterColumn colId="4" hiddenButton="1"/>
    <filterColumn colId="5" hiddenButton="1"/>
  </autoFilter>
  <tableColumns count="6">
    <tableColumn id="1" name="ماه" dataDxfId="15" totalsRowDxfId="14"/>
    <tableColumn id="2" name="روزهای ماه" totalsRowFunction="sum" dataDxfId="13" totalsRowDxfId="12"/>
    <tableColumn id="3" name="تعداد جمعه‌ها" totalsRowFunction="sum" dataDxfId="11" totalsRowDxfId="10"/>
    <tableColumn id="4" name="تعداد تعطیلات رسمی غیر از جمعه" totalsRowFunction="sum" dataDxfId="9" totalsRowDxfId="8"/>
    <tableColumn id="5" name="تعداد روز کاری" totalsRowFunction="sum" dataDxfId="7" totalsRowDxfId="6"/>
    <tableColumn id="6" name="ساعت کار موظفی" totalsRowFunction="sum" dataDxfId="5" totalsRowDxfId="4"/>
  </tableColumns>
  <tableStyleInfo showFirstColumn="0" showLastColumn="0" showRowStripes="1" showColumnStripes="0"/>
</table>
</file>

<file path=xl/tables/table4.xml><?xml version="1.0" encoding="utf-8"?>
<table xmlns="http://schemas.openxmlformats.org/spreadsheetml/2006/main" id="4" name="Table4" displayName="Table4" ref="A1:B39" totalsRowShown="0" headerRowDxfId="3" dataDxfId="2">
  <autoFilter ref="A1:B39">
    <filterColumn colId="0" hiddenButton="1"/>
    <filterColumn colId="1" hiddenButton="1"/>
  </autoFilter>
  <tableColumns count="2">
    <tableColumn id="2" name="ردیف" dataDxfId="1"/>
    <tableColumn id="1" name="امکانات برتر"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liasystem.shop/product/52/specialized-financial-financial-advice" TargetMode="External"/><Relationship Id="rId1" Type="http://schemas.openxmlformats.org/officeDocument/2006/relationships/hyperlink" Target="https://iliasystem.shop/Search-Products/category/4/Workers_wages_in_Excel" TargetMode="Externa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8"/>
  <sheetViews>
    <sheetView rightToLeft="1" tabSelected="1" zoomScale="82" zoomScaleNormal="82" workbookViewId="0">
      <selection activeCell="E3" sqref="E3"/>
    </sheetView>
  </sheetViews>
  <sheetFormatPr defaultColWidth="9.140625" defaultRowHeight="18"/>
  <cols>
    <col min="1" max="1" width="5.42578125" style="11" bestFit="1" customWidth="1"/>
    <col min="2" max="2" width="16" style="11" bestFit="1" customWidth="1"/>
    <col min="3" max="3" width="8.7109375" style="11" bestFit="1" customWidth="1"/>
    <col min="4" max="4" width="17.28515625" style="11" bestFit="1" customWidth="1"/>
    <col min="5" max="5" width="10.85546875" style="11" bestFit="1" customWidth="1"/>
    <col min="6" max="6" width="13.5703125" style="11" bestFit="1" customWidth="1"/>
    <col min="7" max="7" width="17.7109375" style="11" bestFit="1" customWidth="1"/>
    <col min="8" max="8" width="20.85546875" style="11" bestFit="1" customWidth="1"/>
    <col min="9" max="9" width="28.28515625" style="11" bestFit="1" customWidth="1"/>
    <col min="10" max="10" width="13.140625" style="11" customWidth="1"/>
    <col min="11" max="11" width="14.85546875" style="11" bestFit="1" customWidth="1"/>
    <col min="12" max="12" width="27.5703125" style="11" customWidth="1"/>
    <col min="13" max="13" width="16.5703125" style="11" bestFit="1" customWidth="1"/>
    <col min="14" max="14" width="21" style="11" bestFit="1" customWidth="1"/>
    <col min="15" max="15" width="17.7109375" style="11" bestFit="1" customWidth="1"/>
    <col min="16" max="16" width="17.7109375" style="11" hidden="1" customWidth="1"/>
    <col min="17" max="17" width="14.42578125" style="11" bestFit="1" customWidth="1"/>
    <col min="18" max="18" width="13.42578125" style="11" bestFit="1" customWidth="1"/>
    <col min="19" max="19" width="11" style="11" bestFit="1" customWidth="1"/>
    <col min="20" max="20" width="15.85546875" style="11" bestFit="1" customWidth="1"/>
    <col min="21" max="21" width="11.85546875" style="11" bestFit="1" customWidth="1"/>
    <col min="22" max="22" width="13.140625" style="11" bestFit="1" customWidth="1"/>
    <col min="23" max="23" width="12.42578125" style="11" bestFit="1" customWidth="1"/>
    <col min="24" max="24" width="14.42578125" style="11" bestFit="1" customWidth="1"/>
    <col min="25" max="25" width="12.42578125" style="11" bestFit="1" customWidth="1"/>
    <col min="26" max="26" width="11.85546875" style="11" bestFit="1" customWidth="1"/>
    <col min="27" max="27" width="20.140625" style="11" bestFit="1" customWidth="1"/>
    <col min="28" max="28" width="20.140625" style="11" customWidth="1"/>
    <col min="29" max="29" width="20.42578125" style="11" bestFit="1" customWidth="1"/>
    <col min="30" max="33" width="16.140625" style="11" customWidth="1"/>
    <col min="34" max="34" width="12" style="11" bestFit="1" customWidth="1"/>
    <col min="35" max="35" width="15.85546875" style="13" bestFit="1" customWidth="1"/>
    <col min="36" max="36" width="18.140625" style="13" bestFit="1" customWidth="1"/>
    <col min="37" max="16384" width="9.140625" style="13"/>
  </cols>
  <sheetData>
    <row r="1" spans="1:36" ht="18" customHeight="1">
      <c r="B1" s="11" t="s">
        <v>0</v>
      </c>
      <c r="G1" s="123" t="s">
        <v>119</v>
      </c>
      <c r="H1" s="123"/>
      <c r="I1" s="123"/>
      <c r="J1" s="123"/>
      <c r="K1" s="123"/>
      <c r="L1" s="123"/>
      <c r="M1" s="12"/>
      <c r="N1" s="12"/>
    </row>
    <row r="2" spans="1:36" ht="18" customHeight="1">
      <c r="B2" s="14" t="s">
        <v>1</v>
      </c>
      <c r="C2" s="9" t="s">
        <v>112</v>
      </c>
      <c r="G2" s="123"/>
      <c r="H2" s="123"/>
      <c r="I2" s="123"/>
      <c r="J2" s="123"/>
      <c r="K2" s="123"/>
      <c r="L2" s="123"/>
      <c r="M2" s="12"/>
      <c r="N2" s="12"/>
    </row>
    <row r="3" spans="1:36">
      <c r="B3" s="14" t="s">
        <v>3</v>
      </c>
      <c r="C3" s="79">
        <v>1402</v>
      </c>
      <c r="I3" s="15"/>
      <c r="J3" s="15"/>
      <c r="K3" s="15"/>
      <c r="L3" s="15"/>
      <c r="M3" s="15"/>
      <c r="N3" s="15"/>
      <c r="O3" s="15"/>
      <c r="P3" s="15"/>
      <c r="Q3" s="16"/>
      <c r="S3" s="15"/>
    </row>
    <row r="5" spans="1:36" ht="24">
      <c r="I5" s="125" t="s">
        <v>143</v>
      </c>
      <c r="J5" s="125"/>
      <c r="K5" s="125"/>
      <c r="L5" s="125"/>
    </row>
    <row r="6" spans="1:36" ht="19.5">
      <c r="A6" s="17" t="s">
        <v>4</v>
      </c>
      <c r="B6" s="18" t="s">
        <v>5</v>
      </c>
      <c r="C6" s="18" t="s">
        <v>6</v>
      </c>
      <c r="D6" s="18" t="s">
        <v>7</v>
      </c>
      <c r="E6" s="18" t="s">
        <v>8</v>
      </c>
      <c r="F6" s="18" t="s">
        <v>9</v>
      </c>
      <c r="G6" s="18" t="s">
        <v>10</v>
      </c>
      <c r="H6" s="18" t="s">
        <v>11</v>
      </c>
      <c r="I6" s="18" t="s">
        <v>12</v>
      </c>
      <c r="J6" s="18" t="s">
        <v>13</v>
      </c>
      <c r="K6" s="18" t="s">
        <v>14</v>
      </c>
      <c r="L6" s="18" t="s">
        <v>15</v>
      </c>
      <c r="M6" s="18" t="s">
        <v>16</v>
      </c>
      <c r="N6" s="18" t="s">
        <v>17</v>
      </c>
      <c r="O6" s="18" t="s">
        <v>18</v>
      </c>
      <c r="P6" s="18" t="s">
        <v>105</v>
      </c>
      <c r="Q6" s="18" t="s">
        <v>19</v>
      </c>
      <c r="R6" s="18" t="s">
        <v>20</v>
      </c>
      <c r="S6" s="18" t="s">
        <v>21</v>
      </c>
      <c r="T6" s="18" t="s">
        <v>22</v>
      </c>
      <c r="U6" s="18" t="s">
        <v>23</v>
      </c>
      <c r="V6" s="18" t="s">
        <v>24</v>
      </c>
      <c r="W6" s="18" t="s">
        <v>25</v>
      </c>
      <c r="X6" s="18" t="s">
        <v>26</v>
      </c>
      <c r="Y6" s="18" t="s">
        <v>27</v>
      </c>
      <c r="Z6" s="18" t="s">
        <v>28</v>
      </c>
      <c r="AA6" s="18" t="s">
        <v>29</v>
      </c>
      <c r="AB6" s="18" t="s">
        <v>117</v>
      </c>
      <c r="AC6" s="18" t="s">
        <v>30</v>
      </c>
      <c r="AD6" s="18" t="s">
        <v>31</v>
      </c>
      <c r="AE6" s="18" t="s">
        <v>32</v>
      </c>
      <c r="AF6" s="18" t="s">
        <v>33</v>
      </c>
      <c r="AG6" s="18" t="s">
        <v>34</v>
      </c>
      <c r="AH6" s="18" t="s">
        <v>35</v>
      </c>
      <c r="AI6" s="18" t="s">
        <v>36</v>
      </c>
      <c r="AJ6" s="19" t="s">
        <v>37</v>
      </c>
    </row>
    <row r="7" spans="1:36" ht="19.5">
      <c r="A7" s="37">
        <v>1</v>
      </c>
      <c r="B7" s="9">
        <v>9701104</v>
      </c>
      <c r="C7" s="9" t="s">
        <v>38</v>
      </c>
      <c r="D7" s="9" t="s">
        <v>39</v>
      </c>
      <c r="E7" s="9" t="s">
        <v>40</v>
      </c>
      <c r="F7" s="1">
        <f>INDEX(Table1[روزهای ماه], MATCH('داده ها'!$C$2,Table1[ماه],0))</f>
        <v>30</v>
      </c>
      <c r="G7" s="2">
        <v>6.708333333333333</v>
      </c>
      <c r="H7" s="6">
        <v>0</v>
      </c>
      <c r="I7" s="6">
        <v>0</v>
      </c>
      <c r="J7" s="6">
        <v>0</v>
      </c>
      <c r="K7" s="7">
        <v>0</v>
      </c>
      <c r="L7" s="7">
        <v>0</v>
      </c>
      <c r="M7" s="7">
        <v>0</v>
      </c>
      <c r="N7" s="7">
        <v>0</v>
      </c>
      <c r="O7" s="3">
        <f>data[[#This Row],[کارکرد واقعی (ساعت)]]-data[[#This Row],[کسر ساعت ناهار و نماز و...]]</f>
        <v>6.708333333333333</v>
      </c>
      <c r="P7" s="3">
        <f>INDEX(Table1[ساعت کار موظفی],MATCH('داده ها'!$C$2,Table1[ماه],0))/24</f>
        <v>7.958333333333333</v>
      </c>
      <c r="Q7" s="3">
        <f>IF(data[[#This Row],[خالص کارکرد (ساعت)]]-data[[#This Row],[ساعت کار موظفی]]&lt;0,0,(data[[#This Row],[خالص کارکرد (ساعت)]])-data[[#This Row],[ساعت کار موظفی]])-((SUM(data[[#This Row],[شب کاری (ساعت)]:[تعطیل کاری (ساعت)]]))*24)/24</f>
        <v>0</v>
      </c>
      <c r="R7" s="3">
        <f>IF(INDEX(Table1[ساعت کار موظفی],MATCH('داده ها'!$C$2,Table1[ماه],0))-(data[[#This Row],[خالص کارکرد (ساعت)]]*24)&lt;0,0,INDEX(Table1[ساعت کار موظفی],MATCH('داده ها'!$C$2,Table1[ماه],0))-(data[[#This Row],[خالص کارکرد (ساعت)]]*24))/24+ABS(IF(تنظیمات!$B$9-data[[#This Row],[مرخصی استحقاقی(ساعت)]]&lt;0,تنظیمات!$B$9-data[[#This Row],[مرخصی استحقاقی(ساعت)]],0))</f>
        <v>1.25</v>
      </c>
      <c r="S7" s="5">
        <v>1671900</v>
      </c>
      <c r="T7" s="6">
        <v>0</v>
      </c>
      <c r="U7" s="5">
        <v>1671900</v>
      </c>
      <c r="V7" s="5">
        <f>data[[#This Row],[مزد روزانه]]/(تنظیمات!$B$7*24)</f>
        <v>227986.36363636368</v>
      </c>
      <c r="W7" s="5">
        <f>data[[#This Row],[مزد روزانه]]*data[[#This Row],[کارکرد کل (روز)]]</f>
        <v>50157000</v>
      </c>
      <c r="X7" s="5">
        <v>1</v>
      </c>
      <c r="Y7" s="5">
        <v>7800000</v>
      </c>
      <c r="Z7" s="5">
        <v>10200000</v>
      </c>
      <c r="AA7" s="9">
        <v>1</v>
      </c>
      <c r="AB7" s="6">
        <v>0</v>
      </c>
      <c r="AC7" s="6">
        <v>0</v>
      </c>
      <c r="AD7" s="6">
        <v>0</v>
      </c>
      <c r="AE7" s="6">
        <v>0</v>
      </c>
      <c r="AF7" s="6">
        <v>0</v>
      </c>
      <c r="AG7" s="6">
        <v>0</v>
      </c>
      <c r="AH7" s="6">
        <v>0</v>
      </c>
      <c r="AI7" s="9"/>
      <c r="AJ7" s="10"/>
    </row>
    <row r="8" spans="1:36" ht="19.5">
      <c r="A8" s="37">
        <v>2</v>
      </c>
      <c r="B8" s="9">
        <v>9702201</v>
      </c>
      <c r="C8" s="9" t="s">
        <v>41</v>
      </c>
      <c r="D8" s="9" t="s">
        <v>42</v>
      </c>
      <c r="E8" s="9" t="s">
        <v>43</v>
      </c>
      <c r="F8" s="1">
        <f>INDEX(Table1[روزهای ماه], MATCH('داده ها'!$C$2,Table1[ماه],0))</f>
        <v>30</v>
      </c>
      <c r="G8" s="2">
        <v>11.041666666666666</v>
      </c>
      <c r="H8" s="6">
        <v>0</v>
      </c>
      <c r="I8" s="6">
        <v>0</v>
      </c>
      <c r="J8" s="6">
        <v>0</v>
      </c>
      <c r="K8" s="8"/>
      <c r="L8" s="8"/>
      <c r="M8" s="8"/>
      <c r="N8" s="8"/>
      <c r="O8" s="3">
        <f>data[[#This Row],[کارکرد واقعی (ساعت)]]-data[[#This Row],[کسر ساعت ناهار و نماز و...]]</f>
        <v>11.041666666666666</v>
      </c>
      <c r="P8" s="3">
        <f>INDEX(Table1[ساعت کار موظفی],MATCH('داده ها'!$C$2,Table1[ماه],0))/24</f>
        <v>7.958333333333333</v>
      </c>
      <c r="Q8" s="4">
        <f>IF(data[[#This Row],[خالص کارکرد (ساعت)]]-data[[#This Row],[ساعت کار موظفی]]&lt;0,0,(data[[#This Row],[خالص کارکرد (ساعت)]])-data[[#This Row],[ساعت کار موظفی]])-((SUM(data[[#This Row],[شب کاری (ساعت)]:[تعطیل کاری (ساعت)]]))*24)/24</f>
        <v>3.083333333333333</v>
      </c>
      <c r="R8" s="4">
        <f>IF(INDEX(Table1[ساعت کار موظفی],MATCH('داده ها'!$C$2,Table1[ماه],0))-(data[[#This Row],[خالص کارکرد (ساعت)]]*24)&lt;0,0,INDEX(Table1[ساعت کار موظفی],MATCH('داده ها'!$C$2,Table1[ماه],0))-(data[[#This Row],[خالص کارکرد (ساعت)]]*24))/24+ABS(IF(تنظیمات!$B$9-data[[#This Row],[مرخصی استحقاقی(ساعت)]]&lt;0,تنظیمات!$B$9-data[[#This Row],[مرخصی استحقاقی(ساعت)]],0))</f>
        <v>0</v>
      </c>
      <c r="S8" s="5">
        <v>1671900</v>
      </c>
      <c r="T8" s="6">
        <v>0</v>
      </c>
      <c r="U8" s="5">
        <v>1671900</v>
      </c>
      <c r="V8" s="5">
        <f>data[[#This Row],[مزد روزانه]]/(تنظیمات!$B$7*24)</f>
        <v>227986.36363636368</v>
      </c>
      <c r="W8" s="5">
        <f>data[[#This Row],[مزد روزانه]]*data[[#This Row],[کارکرد کل (روز)]]</f>
        <v>50157000</v>
      </c>
      <c r="X8" s="5">
        <v>1</v>
      </c>
      <c r="Y8" s="5">
        <v>7800000</v>
      </c>
      <c r="Z8" s="5">
        <v>10200000</v>
      </c>
      <c r="AA8" s="9">
        <v>2</v>
      </c>
      <c r="AB8" s="6">
        <v>0</v>
      </c>
      <c r="AC8" s="6">
        <v>0</v>
      </c>
      <c r="AD8" s="6">
        <v>0</v>
      </c>
      <c r="AE8" s="6">
        <v>0</v>
      </c>
      <c r="AF8" s="6">
        <v>0</v>
      </c>
      <c r="AG8" s="6">
        <v>0</v>
      </c>
      <c r="AH8" s="6">
        <v>0</v>
      </c>
      <c r="AI8" s="9"/>
      <c r="AJ8" s="10"/>
    </row>
    <row r="9" spans="1:36" ht="19.5">
      <c r="A9" s="37">
        <v>3</v>
      </c>
      <c r="B9" s="9">
        <v>9901104</v>
      </c>
      <c r="C9" s="9" t="s">
        <v>44</v>
      </c>
      <c r="D9" s="9" t="s">
        <v>45</v>
      </c>
      <c r="E9" s="9" t="s">
        <v>46</v>
      </c>
      <c r="F9" s="1">
        <f>INDEX(Table1[روزهای ماه], MATCH('داده ها'!$C$2,Table1[ماه],0))</f>
        <v>30</v>
      </c>
      <c r="G9" s="2">
        <v>12.5</v>
      </c>
      <c r="H9" s="6">
        <v>0</v>
      </c>
      <c r="I9" s="6">
        <v>0</v>
      </c>
      <c r="J9" s="6">
        <v>0</v>
      </c>
      <c r="K9" s="8"/>
      <c r="L9" s="8"/>
      <c r="M9" s="8"/>
      <c r="N9" s="8"/>
      <c r="O9" s="3">
        <f>data[[#This Row],[کارکرد واقعی (ساعت)]]-data[[#This Row],[کسر ساعت ناهار و نماز و...]]</f>
        <v>12.5</v>
      </c>
      <c r="P9" s="3">
        <f>INDEX(Table1[ساعت کار موظفی],MATCH('داده ها'!$C$2,Table1[ماه],0))/24</f>
        <v>7.958333333333333</v>
      </c>
      <c r="Q9" s="4">
        <f>IF(data[[#This Row],[خالص کارکرد (ساعت)]]-data[[#This Row],[ساعت کار موظفی]]&lt;0,0,(data[[#This Row],[خالص کارکرد (ساعت)]])-data[[#This Row],[ساعت کار موظفی]])-((SUM(data[[#This Row],[شب کاری (ساعت)]:[تعطیل کاری (ساعت)]]))*24)/24</f>
        <v>4.541666666666667</v>
      </c>
      <c r="R9" s="4">
        <f>IF(INDEX(Table1[ساعت کار موظفی],MATCH('داده ها'!$C$2,Table1[ماه],0))-(data[[#This Row],[خالص کارکرد (ساعت)]]*24)&lt;0,0,INDEX(Table1[ساعت کار موظفی],MATCH('داده ها'!$C$2,Table1[ماه],0))-(data[[#This Row],[خالص کارکرد (ساعت)]]*24))/24+ABS(IF(تنظیمات!$B$9-data[[#This Row],[مرخصی استحقاقی(ساعت)]]&lt;0,تنظیمات!$B$9-data[[#This Row],[مرخصی استحقاقی(ساعت)]],0))</f>
        <v>0</v>
      </c>
      <c r="S9" s="5">
        <v>1671900</v>
      </c>
      <c r="T9" s="6">
        <v>0</v>
      </c>
      <c r="U9" s="5">
        <v>1671900</v>
      </c>
      <c r="V9" s="5">
        <f>data[[#This Row],[مزد روزانه]]/(تنظیمات!$B$7*24)</f>
        <v>227986.36363636368</v>
      </c>
      <c r="W9" s="5">
        <f>data[[#This Row],[مزد روزانه]]*data[[#This Row],[کارکرد کل (روز)]]</f>
        <v>50157000</v>
      </c>
      <c r="X9" s="5">
        <v>1</v>
      </c>
      <c r="Y9" s="5">
        <v>7800000</v>
      </c>
      <c r="Z9" s="5">
        <v>10200000</v>
      </c>
      <c r="AA9" s="9"/>
      <c r="AB9" s="6">
        <v>0</v>
      </c>
      <c r="AC9" s="6">
        <v>0</v>
      </c>
      <c r="AD9" s="6">
        <v>0</v>
      </c>
      <c r="AE9" s="6">
        <v>0</v>
      </c>
      <c r="AF9" s="6">
        <v>0</v>
      </c>
      <c r="AG9" s="6">
        <v>0</v>
      </c>
      <c r="AH9" s="6">
        <v>0</v>
      </c>
      <c r="AI9" s="9"/>
      <c r="AJ9" s="10"/>
    </row>
    <row r="10" spans="1:36" ht="19.5">
      <c r="A10" s="37">
        <v>4</v>
      </c>
      <c r="B10" s="9">
        <v>9901105</v>
      </c>
      <c r="C10" s="9" t="s">
        <v>47</v>
      </c>
      <c r="D10" s="9" t="s">
        <v>48</v>
      </c>
      <c r="E10" s="9" t="s">
        <v>40</v>
      </c>
      <c r="F10" s="1">
        <f>INDEX(Table1[روزهای ماه], MATCH('داده ها'!$C$2,Table1[ماه],0))</f>
        <v>30</v>
      </c>
      <c r="G10" s="2"/>
      <c r="H10" s="6">
        <v>0</v>
      </c>
      <c r="I10" s="6">
        <v>0</v>
      </c>
      <c r="J10" s="6">
        <v>0</v>
      </c>
      <c r="K10" s="8"/>
      <c r="L10" s="8"/>
      <c r="M10" s="8"/>
      <c r="N10" s="8"/>
      <c r="O10" s="3">
        <f>data[[#This Row],[کارکرد واقعی (ساعت)]]-data[[#This Row],[کسر ساعت ناهار و نماز و...]]</f>
        <v>0</v>
      </c>
      <c r="P10" s="3">
        <f>INDEX(Table1[ساعت کار موظفی],MATCH('داده ها'!$C$2,Table1[ماه],0))/24</f>
        <v>7.958333333333333</v>
      </c>
      <c r="Q10" s="4">
        <f>IF(data[[#This Row],[خالص کارکرد (ساعت)]]-data[[#This Row],[ساعت کار موظفی]]&lt;0,0,(data[[#This Row],[خالص کارکرد (ساعت)]])-data[[#This Row],[ساعت کار موظفی]])-((SUM(data[[#This Row],[شب کاری (ساعت)]:[تعطیل کاری (ساعت)]]))*24)/24</f>
        <v>0</v>
      </c>
      <c r="R10" s="4">
        <f>IF(INDEX(Table1[ساعت کار موظفی],MATCH('داده ها'!$C$2,Table1[ماه],0))-(data[[#This Row],[خالص کارکرد (ساعت)]]*24)&lt;0,0,INDEX(Table1[ساعت کار موظفی],MATCH('داده ها'!$C$2,Table1[ماه],0))-(data[[#This Row],[خالص کارکرد (ساعت)]]*24))/24+ABS(IF(تنظیمات!$B$9-data[[#This Row],[مرخصی استحقاقی(ساعت)]]&lt;0,تنظیمات!$B$9-data[[#This Row],[مرخصی استحقاقی(ساعت)]],0))</f>
        <v>7.958333333333333</v>
      </c>
      <c r="S10" s="5">
        <v>1671900</v>
      </c>
      <c r="T10" s="6">
        <v>0</v>
      </c>
      <c r="U10" s="5">
        <v>1671900</v>
      </c>
      <c r="V10" s="5">
        <f>data[[#This Row],[مزد روزانه]]/(تنظیمات!$B$7*24)</f>
        <v>227986.36363636368</v>
      </c>
      <c r="W10" s="5">
        <f>data[[#This Row],[مزد روزانه]]*data[[#This Row],[کارکرد کل (روز)]]</f>
        <v>50157000</v>
      </c>
      <c r="X10" s="5">
        <v>1</v>
      </c>
      <c r="Y10" s="5">
        <v>7800000</v>
      </c>
      <c r="Z10" s="5">
        <v>10200000</v>
      </c>
      <c r="AA10" s="9"/>
      <c r="AB10" s="6">
        <v>0</v>
      </c>
      <c r="AC10" s="6">
        <v>0</v>
      </c>
      <c r="AD10" s="6">
        <v>0</v>
      </c>
      <c r="AE10" s="6">
        <v>0</v>
      </c>
      <c r="AF10" s="6">
        <v>0</v>
      </c>
      <c r="AG10" s="6">
        <v>0</v>
      </c>
      <c r="AH10" s="6">
        <v>0</v>
      </c>
      <c r="AI10" s="9"/>
      <c r="AJ10" s="10"/>
    </row>
    <row r="11" spans="1:36" ht="19.5">
      <c r="A11" s="37">
        <v>5</v>
      </c>
      <c r="B11" s="9">
        <v>9901106</v>
      </c>
      <c r="C11" s="9" t="s">
        <v>49</v>
      </c>
      <c r="D11" s="9" t="s">
        <v>50</v>
      </c>
      <c r="E11" s="9" t="s">
        <v>40</v>
      </c>
      <c r="F11" s="1">
        <f>INDEX(Table1[روزهای ماه], MATCH('داده ها'!$C$2,Table1[ماه],0))</f>
        <v>30</v>
      </c>
      <c r="G11" s="2">
        <v>11.0451388888889</v>
      </c>
      <c r="H11" s="6">
        <v>0</v>
      </c>
      <c r="I11" s="6">
        <v>0</v>
      </c>
      <c r="J11" s="6">
        <v>0</v>
      </c>
      <c r="K11" s="8"/>
      <c r="L11" s="8"/>
      <c r="M11" s="8"/>
      <c r="N11" s="8"/>
      <c r="O11" s="3">
        <f>data[[#This Row],[کارکرد واقعی (ساعت)]]-data[[#This Row],[کسر ساعت ناهار و نماز و...]]</f>
        <v>11.0451388888889</v>
      </c>
      <c r="P11" s="3">
        <f>INDEX(Table1[ساعت کار موظفی],MATCH('داده ها'!$C$2,Table1[ماه],0))/24</f>
        <v>7.958333333333333</v>
      </c>
      <c r="Q11" s="4">
        <f>IF(data[[#This Row],[خالص کارکرد (ساعت)]]-data[[#This Row],[ساعت کار موظفی]]&lt;0,0,(data[[#This Row],[خالص کارکرد (ساعت)]])-data[[#This Row],[ساعت کار موظفی]])-((SUM(data[[#This Row],[شب کاری (ساعت)]:[تعطیل کاری (ساعت)]]))*24)/24</f>
        <v>3.0868055555555669</v>
      </c>
      <c r="R11" s="4">
        <f>IF(INDEX(Table1[ساعت کار موظفی],MATCH('داده ها'!$C$2,Table1[ماه],0))-(data[[#This Row],[خالص کارکرد (ساعت)]]*24)&lt;0,0,INDEX(Table1[ساعت کار موظفی],MATCH('داده ها'!$C$2,Table1[ماه],0))-(data[[#This Row],[خالص کارکرد (ساعت)]]*24))/24+ABS(IF(تنظیمات!$B$9-data[[#This Row],[مرخصی استحقاقی(ساعت)]]&lt;0,تنظیمات!$B$9-data[[#This Row],[مرخصی استحقاقی(ساعت)]],0))</f>
        <v>0</v>
      </c>
      <c r="S11" s="5">
        <v>1671900</v>
      </c>
      <c r="T11" s="6">
        <v>0</v>
      </c>
      <c r="U11" s="5">
        <v>1671900</v>
      </c>
      <c r="V11" s="5">
        <f>data[[#This Row],[مزد روزانه]]/(تنظیمات!$B$7*24)</f>
        <v>227986.36363636368</v>
      </c>
      <c r="W11" s="5">
        <f>data[[#This Row],[مزد روزانه]]*data[[#This Row],[کارکرد کل (روز)]]</f>
        <v>50157000</v>
      </c>
      <c r="X11" s="5">
        <v>1</v>
      </c>
      <c r="Y11" s="5">
        <v>7800000</v>
      </c>
      <c r="Z11" s="5">
        <v>10200000</v>
      </c>
      <c r="AA11" s="9"/>
      <c r="AB11" s="6">
        <v>0</v>
      </c>
      <c r="AC11" s="6">
        <v>0</v>
      </c>
      <c r="AD11" s="6">
        <v>0</v>
      </c>
      <c r="AE11" s="6">
        <v>0</v>
      </c>
      <c r="AF11" s="6">
        <v>0</v>
      </c>
      <c r="AG11" s="6">
        <v>0</v>
      </c>
      <c r="AH11" s="6">
        <v>0</v>
      </c>
      <c r="AI11" s="9"/>
      <c r="AJ11" s="10"/>
    </row>
    <row r="12" spans="1:36" ht="18.75" thickBot="1"/>
    <row r="13" spans="1:36" ht="18.75" customHeight="1">
      <c r="A13" s="126" t="s">
        <v>150</v>
      </c>
      <c r="B13" s="127"/>
      <c r="C13" s="127"/>
      <c r="D13" s="127"/>
      <c r="E13" s="127"/>
      <c r="F13" s="127"/>
      <c r="G13" s="127"/>
      <c r="H13" s="127"/>
      <c r="I13" s="128"/>
      <c r="K13" s="117" t="s">
        <v>121</v>
      </c>
      <c r="L13" s="118"/>
      <c r="M13" s="113" t="s">
        <v>120</v>
      </c>
      <c r="N13" s="115" t="s">
        <v>145</v>
      </c>
      <c r="AA13" s="31"/>
      <c r="AB13" s="13"/>
      <c r="AC13" s="13"/>
      <c r="AD13" s="13"/>
      <c r="AE13" s="13"/>
      <c r="AF13" s="13"/>
      <c r="AG13" s="13"/>
      <c r="AH13" s="13"/>
    </row>
    <row r="14" spans="1:36" ht="18" customHeight="1" thickBot="1">
      <c r="A14" s="129"/>
      <c r="B14" s="130"/>
      <c r="C14" s="130"/>
      <c r="D14" s="130"/>
      <c r="E14" s="130"/>
      <c r="F14" s="130"/>
      <c r="G14" s="130"/>
      <c r="H14" s="130"/>
      <c r="I14" s="131"/>
      <c r="K14" s="119"/>
      <c r="L14" s="120"/>
      <c r="M14" s="114"/>
      <c r="N14" s="116"/>
      <c r="AB14" s="13"/>
      <c r="AC14" s="13"/>
      <c r="AD14" s="13"/>
      <c r="AE14" s="13"/>
      <c r="AF14" s="13"/>
      <c r="AG14" s="13"/>
      <c r="AH14" s="13"/>
    </row>
    <row r="15" spans="1:36" ht="24" customHeight="1">
      <c r="A15" s="129"/>
      <c r="B15" s="130"/>
      <c r="C15" s="130"/>
      <c r="D15" s="130"/>
      <c r="E15" s="130"/>
      <c r="F15" s="130"/>
      <c r="G15" s="130"/>
      <c r="H15" s="130"/>
      <c r="I15" s="131"/>
      <c r="K15" s="121" t="s">
        <v>148</v>
      </c>
      <c r="L15" s="122"/>
      <c r="M15" s="38" t="s">
        <v>132</v>
      </c>
      <c r="N15" s="39" t="s">
        <v>131</v>
      </c>
      <c r="AB15" s="13"/>
      <c r="AC15" s="13"/>
      <c r="AD15" s="13"/>
      <c r="AE15" s="13"/>
      <c r="AF15" s="13"/>
      <c r="AG15" s="13"/>
      <c r="AH15" s="13"/>
    </row>
    <row r="16" spans="1:36" ht="22.5">
      <c r="A16" s="129"/>
      <c r="B16" s="130"/>
      <c r="C16" s="130"/>
      <c r="D16" s="130"/>
      <c r="E16" s="130"/>
      <c r="F16" s="130"/>
      <c r="G16" s="130"/>
      <c r="H16" s="130"/>
      <c r="I16" s="131"/>
      <c r="K16" s="124" t="s">
        <v>133</v>
      </c>
      <c r="L16" s="110"/>
      <c r="M16" s="23"/>
      <c r="N16" s="24"/>
      <c r="AB16" s="13"/>
      <c r="AC16" s="13"/>
      <c r="AD16" s="13"/>
      <c r="AE16" s="13"/>
      <c r="AF16" s="13"/>
      <c r="AG16" s="13"/>
      <c r="AH16" s="13"/>
    </row>
    <row r="17" spans="1:34" ht="22.5">
      <c r="A17" s="129"/>
      <c r="B17" s="130"/>
      <c r="C17" s="130"/>
      <c r="D17" s="130"/>
      <c r="E17" s="130"/>
      <c r="F17" s="130"/>
      <c r="G17" s="130"/>
      <c r="H17" s="130"/>
      <c r="I17" s="131"/>
      <c r="K17" s="109" t="s">
        <v>134</v>
      </c>
      <c r="L17" s="110"/>
      <c r="M17" s="23"/>
      <c r="N17" s="24"/>
      <c r="AB17" s="13"/>
      <c r="AC17" s="13"/>
      <c r="AD17" s="13"/>
      <c r="AE17" s="13"/>
      <c r="AF17" s="13"/>
      <c r="AG17" s="13"/>
      <c r="AH17" s="13"/>
    </row>
    <row r="18" spans="1:34" ht="22.5">
      <c r="A18" s="129"/>
      <c r="B18" s="130"/>
      <c r="C18" s="130"/>
      <c r="D18" s="130"/>
      <c r="E18" s="130"/>
      <c r="F18" s="130"/>
      <c r="G18" s="130"/>
      <c r="H18" s="130"/>
      <c r="I18" s="131"/>
      <c r="K18" s="111" t="s">
        <v>136</v>
      </c>
      <c r="L18" s="112"/>
      <c r="M18" s="23"/>
      <c r="N18" s="24"/>
      <c r="AB18" s="13"/>
      <c r="AC18" s="13"/>
      <c r="AD18" s="13"/>
      <c r="AE18" s="13"/>
      <c r="AF18" s="13"/>
      <c r="AG18" s="13"/>
      <c r="AH18" s="13"/>
    </row>
    <row r="19" spans="1:34" ht="22.5">
      <c r="A19" s="129"/>
      <c r="B19" s="130"/>
      <c r="C19" s="130"/>
      <c r="D19" s="130"/>
      <c r="E19" s="130"/>
      <c r="F19" s="130"/>
      <c r="G19" s="130"/>
      <c r="H19" s="130"/>
      <c r="I19" s="131"/>
      <c r="K19" s="111" t="s">
        <v>137</v>
      </c>
      <c r="L19" s="112"/>
      <c r="M19" s="23"/>
      <c r="N19" s="24"/>
      <c r="AB19" s="13"/>
      <c r="AC19" s="13"/>
      <c r="AD19" s="13"/>
      <c r="AE19" s="13"/>
      <c r="AF19" s="13"/>
      <c r="AG19" s="13"/>
      <c r="AH19" s="13"/>
    </row>
    <row r="20" spans="1:34" ht="22.5">
      <c r="A20" s="129"/>
      <c r="B20" s="130"/>
      <c r="C20" s="130"/>
      <c r="D20" s="130"/>
      <c r="E20" s="130"/>
      <c r="F20" s="130"/>
      <c r="G20" s="130"/>
      <c r="H20" s="130"/>
      <c r="I20" s="131"/>
      <c r="K20" s="111" t="s">
        <v>147</v>
      </c>
      <c r="L20" s="112"/>
      <c r="M20" s="23"/>
      <c r="N20" s="24"/>
      <c r="AB20" s="13"/>
      <c r="AC20" s="13"/>
      <c r="AD20" s="13"/>
      <c r="AE20" s="13"/>
      <c r="AF20" s="13"/>
      <c r="AG20" s="13"/>
      <c r="AH20" s="13"/>
    </row>
    <row r="21" spans="1:34" ht="22.5">
      <c r="A21" s="129"/>
      <c r="B21" s="130"/>
      <c r="C21" s="130"/>
      <c r="D21" s="130"/>
      <c r="E21" s="132"/>
      <c r="F21" s="132"/>
      <c r="G21" s="132"/>
      <c r="H21" s="132"/>
      <c r="I21" s="133"/>
      <c r="K21" s="111" t="s">
        <v>128</v>
      </c>
      <c r="L21" s="112"/>
      <c r="M21" s="23"/>
      <c r="N21" s="24"/>
      <c r="AB21" s="13"/>
      <c r="AC21" s="13"/>
      <c r="AD21" s="13"/>
      <c r="AE21" s="13"/>
      <c r="AF21" s="13"/>
      <c r="AG21" s="13"/>
      <c r="AH21" s="13"/>
    </row>
    <row r="22" spans="1:34" ht="47.25" customHeight="1">
      <c r="A22"/>
      <c r="B22"/>
      <c r="C22"/>
      <c r="D22"/>
      <c r="E22"/>
      <c r="F22"/>
      <c r="G22"/>
      <c r="H22"/>
      <c r="I22"/>
      <c r="J22" s="21"/>
      <c r="K22" s="109" t="s">
        <v>127</v>
      </c>
      <c r="L22" s="110"/>
      <c r="M22" s="23"/>
      <c r="N22" s="24"/>
      <c r="AB22" s="13"/>
      <c r="AC22" s="13"/>
      <c r="AD22" s="13"/>
      <c r="AE22" s="13"/>
      <c r="AF22" s="13"/>
      <c r="AG22" s="13"/>
      <c r="AH22" s="13"/>
    </row>
    <row r="23" spans="1:34" ht="24.75" customHeight="1">
      <c r="A23"/>
      <c r="B23"/>
      <c r="C23"/>
      <c r="D23"/>
      <c r="E23"/>
      <c r="F23"/>
      <c r="G23"/>
      <c r="H23"/>
      <c r="I23"/>
      <c r="J23" s="20"/>
      <c r="K23" s="109" t="s">
        <v>135</v>
      </c>
      <c r="L23" s="110"/>
      <c r="M23" s="23"/>
      <c r="N23" s="24"/>
      <c r="AF23" s="13"/>
      <c r="AG23" s="13"/>
      <c r="AH23" s="13"/>
    </row>
    <row r="24" spans="1:34" ht="24.75" customHeight="1">
      <c r="A24"/>
      <c r="B24"/>
      <c r="C24"/>
      <c r="D24"/>
      <c r="E24"/>
      <c r="F24"/>
      <c r="G24"/>
      <c r="H24"/>
      <c r="I24"/>
      <c r="K24" s="109" t="s">
        <v>138</v>
      </c>
      <c r="L24" s="110"/>
      <c r="M24" s="23"/>
      <c r="N24" s="24"/>
      <c r="Z24" s="13"/>
      <c r="AA24" s="13"/>
      <c r="AB24" s="13"/>
      <c r="AC24" s="13"/>
      <c r="AD24" s="13"/>
      <c r="AE24" s="13"/>
      <c r="AF24" s="13"/>
      <c r="AG24" s="13"/>
      <c r="AH24" s="13"/>
    </row>
    <row r="25" spans="1:34" ht="22.5" customHeight="1">
      <c r="A25"/>
      <c r="B25"/>
      <c r="C25"/>
      <c r="D25"/>
      <c r="E25"/>
      <c r="F25"/>
      <c r="G25"/>
      <c r="H25"/>
      <c r="I25"/>
      <c r="K25" s="124" t="s">
        <v>139</v>
      </c>
      <c r="L25" s="110"/>
      <c r="M25" s="23"/>
      <c r="N25" s="24"/>
      <c r="AF25" s="13"/>
      <c r="AG25" s="13"/>
      <c r="AH25" s="13"/>
    </row>
    <row r="26" spans="1:34" ht="22.5" customHeight="1">
      <c r="A26"/>
      <c r="B26"/>
      <c r="C26"/>
      <c r="D26"/>
      <c r="E26"/>
      <c r="F26"/>
      <c r="G26"/>
      <c r="H26"/>
      <c r="I26"/>
      <c r="K26" s="109" t="s">
        <v>129</v>
      </c>
      <c r="L26" s="110"/>
      <c r="M26" s="23"/>
      <c r="N26" s="24"/>
      <c r="AF26" s="13"/>
      <c r="AG26" s="13"/>
      <c r="AH26" s="13"/>
    </row>
    <row r="27" spans="1:34" ht="22.5" customHeight="1">
      <c r="A27"/>
      <c r="B27"/>
      <c r="C27"/>
      <c r="D27"/>
      <c r="E27"/>
      <c r="F27"/>
      <c r="G27"/>
      <c r="H27"/>
      <c r="I27"/>
      <c r="K27" s="109" t="s">
        <v>130</v>
      </c>
      <c r="L27" s="110"/>
      <c r="M27" s="23"/>
      <c r="N27" s="24"/>
      <c r="AF27" s="13"/>
      <c r="AG27" s="13"/>
      <c r="AH27" s="13"/>
    </row>
    <row r="28" spans="1:34" ht="24" customHeight="1">
      <c r="A28"/>
      <c r="B28"/>
      <c r="C28"/>
      <c r="D28"/>
      <c r="E28"/>
      <c r="F28"/>
      <c r="G28"/>
      <c r="H28"/>
      <c r="I28"/>
      <c r="K28" s="109" t="s">
        <v>122</v>
      </c>
      <c r="L28" s="110"/>
      <c r="M28" s="25"/>
      <c r="N28" s="24"/>
      <c r="AF28" s="13"/>
      <c r="AG28" s="13"/>
      <c r="AH28" s="13"/>
    </row>
    <row r="29" spans="1:34" ht="22.5" customHeight="1">
      <c r="A29"/>
      <c r="B29"/>
      <c r="C29"/>
      <c r="D29"/>
      <c r="E29"/>
      <c r="F29"/>
      <c r="G29"/>
      <c r="H29"/>
      <c r="I29"/>
      <c r="K29" s="109" t="s">
        <v>123</v>
      </c>
      <c r="L29" s="110"/>
      <c r="M29" s="23"/>
      <c r="N29" s="24"/>
      <c r="AF29" s="13"/>
      <c r="AG29" s="13"/>
      <c r="AH29" s="13"/>
    </row>
    <row r="30" spans="1:34" ht="23.25" customHeight="1">
      <c r="A30"/>
      <c r="B30"/>
      <c r="C30"/>
      <c r="D30"/>
      <c r="E30"/>
      <c r="F30"/>
      <c r="G30"/>
      <c r="H30"/>
      <c r="I30"/>
      <c r="K30" s="109" t="s">
        <v>124</v>
      </c>
      <c r="L30" s="110"/>
      <c r="M30" s="23"/>
      <c r="N30" s="24"/>
      <c r="AF30" s="13"/>
      <c r="AG30" s="13"/>
      <c r="AH30" s="13"/>
    </row>
    <row r="31" spans="1:34" ht="22.5">
      <c r="K31" s="109" t="s">
        <v>126</v>
      </c>
      <c r="L31" s="110"/>
      <c r="M31" s="23"/>
      <c r="N31" s="24"/>
      <c r="AF31" s="13"/>
      <c r="AG31" s="13"/>
      <c r="AH31" s="13"/>
    </row>
    <row r="32" spans="1:34" ht="22.5">
      <c r="K32" s="109" t="s">
        <v>125</v>
      </c>
      <c r="L32" s="110"/>
      <c r="M32" s="23"/>
      <c r="N32" s="24"/>
      <c r="AF32" s="13"/>
      <c r="AG32" s="13"/>
      <c r="AH32" s="13"/>
    </row>
    <row r="33" spans="11:34" ht="22.5">
      <c r="K33" s="109" t="s">
        <v>134</v>
      </c>
      <c r="L33" s="110"/>
      <c r="M33" s="23"/>
      <c r="N33" s="24"/>
      <c r="AF33" s="13"/>
      <c r="AG33" s="13"/>
      <c r="AH33" s="13"/>
    </row>
    <row r="34" spans="11:34" ht="22.5">
      <c r="K34" s="109" t="s">
        <v>142</v>
      </c>
      <c r="L34" s="110"/>
      <c r="M34" s="23"/>
      <c r="N34" s="26"/>
      <c r="AH34" s="13"/>
    </row>
    <row r="35" spans="11:34" ht="22.5">
      <c r="K35" s="111" t="s">
        <v>140</v>
      </c>
      <c r="L35" s="112"/>
      <c r="M35" s="23"/>
      <c r="N35" s="26"/>
      <c r="AH35" s="13"/>
    </row>
    <row r="36" spans="11:34" ht="23.25" thickBot="1">
      <c r="K36" s="107" t="s">
        <v>141</v>
      </c>
      <c r="L36" s="108"/>
      <c r="M36" s="27"/>
      <c r="N36" s="28"/>
      <c r="AH36" s="13"/>
    </row>
    <row r="37" spans="11:34">
      <c r="AH37" s="13"/>
    </row>
    <row r="38" spans="11:34">
      <c r="AH38" s="13"/>
    </row>
  </sheetData>
  <sheetProtection algorithmName="SHA-512" hashValue="mC2ZUgLHBBeBhLXTaAm8VzuKDoHRchIw7nzehEEdsezEL0uIp3r6f/ZoEIT7EmRX5UOgOqbL8+5YjoFwTalQ3A==" saltValue="D2asrHC0JQTjS6jfGtpDZw==" spinCount="100000" sheet="1" selectLockedCells="1"/>
  <mergeCells count="28">
    <mergeCell ref="K27:L27"/>
    <mergeCell ref="K25:L25"/>
    <mergeCell ref="K23:L23"/>
    <mergeCell ref="A13:I21"/>
    <mergeCell ref="K24:L24"/>
    <mergeCell ref="G1:L2"/>
    <mergeCell ref="K20:L20"/>
    <mergeCell ref="K16:L16"/>
    <mergeCell ref="I5:L5"/>
    <mergeCell ref="K26:L26"/>
    <mergeCell ref="M13:M14"/>
    <mergeCell ref="N13:N14"/>
    <mergeCell ref="K13:L14"/>
    <mergeCell ref="K17:L17"/>
    <mergeCell ref="K22:L22"/>
    <mergeCell ref="K18:L18"/>
    <mergeCell ref="K19:L19"/>
    <mergeCell ref="K21:L21"/>
    <mergeCell ref="K15:L15"/>
    <mergeCell ref="K36:L36"/>
    <mergeCell ref="K28:L28"/>
    <mergeCell ref="K29:L29"/>
    <mergeCell ref="K30:L30"/>
    <mergeCell ref="K31:L31"/>
    <mergeCell ref="K32:L32"/>
    <mergeCell ref="K35:L35"/>
    <mergeCell ref="K33:L33"/>
    <mergeCell ref="K34:L34"/>
  </mergeCells>
  <pageMargins left="0.7" right="0.7" top="0.75" bottom="0.75" header="0.3" footer="0.3"/>
  <pageSetup orientation="portrait" r:id="rId1"/>
  <ignoredErrors>
    <ignoredError sqref="I7:I9 J7:J11 I10:I11 X7:X11" calculatedColumn="1"/>
    <ignoredError sqref="Q7:Q11 R7:R11 O7:O11 V8:W11 V7:W7" unlockedFormula="1"/>
    <ignoredError sqref="F7:F11" unlockedFormula="1" calculatedColumn="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تنظیمات!$A$13:$A$24</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L21"/>
  <sheetViews>
    <sheetView rightToLeft="1" zoomScaleNormal="100" workbookViewId="0">
      <selection activeCell="Y4" sqref="Y4"/>
    </sheetView>
  </sheetViews>
  <sheetFormatPr defaultRowHeight="15"/>
  <cols>
    <col min="1" max="3" width="11.85546875" style="29" customWidth="1"/>
    <col min="4" max="4" width="16.7109375" style="29" bestFit="1" customWidth="1"/>
    <col min="5" max="5" width="13.5703125" style="29" bestFit="1" customWidth="1"/>
    <col min="6" max="7" width="17.7109375" style="29" bestFit="1" customWidth="1"/>
    <col min="8" max="8" width="11.85546875" style="29" customWidth="1"/>
    <col min="9" max="9" width="15.85546875" style="29" bestFit="1" customWidth="1"/>
    <col min="10" max="11" width="11.85546875" style="29" customWidth="1"/>
    <col min="12" max="12" width="14.42578125" style="29" bestFit="1" customWidth="1"/>
    <col min="13" max="13" width="21.42578125" style="29" customWidth="1"/>
    <col min="14" max="14" width="16.140625" style="29" customWidth="1"/>
    <col min="15" max="15" width="17.7109375" style="29" bestFit="1" customWidth="1"/>
    <col min="16" max="16" width="18.42578125" style="29" bestFit="1" customWidth="1"/>
    <col min="17" max="17" width="11.85546875" style="29" customWidth="1"/>
    <col min="18" max="18" width="16.28515625" style="29" customWidth="1"/>
    <col min="19" max="19" width="18.140625" style="29" bestFit="1" customWidth="1"/>
    <col min="20" max="20" width="18.140625" style="29" customWidth="1"/>
    <col min="21" max="22" width="18.140625" style="29" bestFit="1" customWidth="1"/>
    <col min="23" max="23" width="18.140625" style="29" customWidth="1"/>
    <col min="24" max="24" width="11.85546875" style="29" customWidth="1"/>
    <col min="25" max="25" width="13.42578125" style="29" bestFit="1" customWidth="1"/>
    <col min="26" max="26" width="12.5703125" style="29" bestFit="1" customWidth="1"/>
    <col min="27" max="28" width="11.85546875" style="29" customWidth="1"/>
    <col min="29" max="29" width="15.85546875" style="29" bestFit="1" customWidth="1"/>
    <col min="30" max="33" width="15.85546875" style="29" customWidth="1"/>
    <col min="34" max="34" width="18.140625" style="29" bestFit="1" customWidth="1"/>
    <col min="35" max="36" width="18.140625" style="29" customWidth="1"/>
    <col min="37" max="37" width="13.42578125" style="30" bestFit="1" customWidth="1"/>
    <col min="38" max="38" width="12.28515625" style="30" bestFit="1" customWidth="1"/>
    <col min="39" max="16384" width="9.140625" style="30"/>
  </cols>
  <sheetData>
    <row r="3" spans="1:38" ht="24">
      <c r="G3" s="80"/>
      <c r="H3" s="80"/>
      <c r="I3" s="80"/>
      <c r="J3" s="80"/>
      <c r="K3" s="80"/>
      <c r="L3" s="80"/>
      <c r="M3" s="80"/>
    </row>
    <row r="4" spans="1:38" ht="18">
      <c r="A4" s="31" t="s">
        <v>4</v>
      </c>
      <c r="B4" s="31" t="s">
        <v>5</v>
      </c>
      <c r="C4" s="31" t="s">
        <v>6</v>
      </c>
      <c r="D4" s="31" t="s">
        <v>7</v>
      </c>
      <c r="E4" s="31" t="s">
        <v>8</v>
      </c>
      <c r="F4" s="31" t="s">
        <v>9</v>
      </c>
      <c r="G4" s="31" t="s">
        <v>51</v>
      </c>
      <c r="H4" s="31" t="s">
        <v>21</v>
      </c>
      <c r="I4" s="31" t="s">
        <v>22</v>
      </c>
      <c r="J4" s="31" t="s">
        <v>23</v>
      </c>
      <c r="K4" s="31" t="s">
        <v>24</v>
      </c>
      <c r="L4" s="31" t="s">
        <v>25</v>
      </c>
      <c r="M4" s="31" t="s">
        <v>52</v>
      </c>
      <c r="N4" s="31" t="s">
        <v>53</v>
      </c>
      <c r="O4" s="31" t="s">
        <v>54</v>
      </c>
      <c r="P4" s="31" t="s">
        <v>55</v>
      </c>
      <c r="Q4" s="31" t="s">
        <v>27</v>
      </c>
      <c r="R4" s="31" t="s">
        <v>28</v>
      </c>
      <c r="S4" s="31" t="s">
        <v>56</v>
      </c>
      <c r="T4" s="31" t="s">
        <v>57</v>
      </c>
      <c r="U4" s="31" t="s">
        <v>58</v>
      </c>
      <c r="V4" s="31" t="s">
        <v>59</v>
      </c>
      <c r="W4" s="31" t="s">
        <v>30</v>
      </c>
      <c r="X4" s="31" t="s">
        <v>31</v>
      </c>
      <c r="Y4" s="31" t="s">
        <v>60</v>
      </c>
      <c r="Z4" s="31" t="s">
        <v>61</v>
      </c>
      <c r="AA4" s="31" t="s">
        <v>32</v>
      </c>
      <c r="AB4" s="31" t="s">
        <v>33</v>
      </c>
      <c r="AC4" s="31" t="s">
        <v>34</v>
      </c>
      <c r="AD4" s="31" t="s">
        <v>35</v>
      </c>
      <c r="AE4" s="31" t="s">
        <v>62</v>
      </c>
      <c r="AF4" s="31" t="s">
        <v>63</v>
      </c>
      <c r="AG4" s="31" t="s">
        <v>64</v>
      </c>
      <c r="AH4" s="31" t="s">
        <v>65</v>
      </c>
      <c r="AI4" s="31" t="s">
        <v>66</v>
      </c>
      <c r="AJ4" s="31" t="s">
        <v>67</v>
      </c>
      <c r="AK4" s="31" t="s">
        <v>68</v>
      </c>
      <c r="AL4" s="31" t="s">
        <v>69</v>
      </c>
    </row>
    <row r="5" spans="1:38" ht="19.5">
      <c r="A5" s="81">
        <f>INDEX(data[ردیف],ROW()-4)</f>
        <v>1</v>
      </c>
      <c r="B5" s="31">
        <f>INDEX(data[شماره پرسنلی],MATCH(list[[#This Row],[ردیف]],data[ردیف],0))</f>
        <v>9701104</v>
      </c>
      <c r="C5" s="31" t="str">
        <f>INDEX(data[نام],MATCH(list[[#This Row],[شماره پرسنلی]],data[شماره پرسنلی],0))</f>
        <v>محمد</v>
      </c>
      <c r="D5" s="31" t="str">
        <f>INDEX(data[نام خانوادگی],MATCH(list[[#This Row],[شماره پرسنلی]],data[شماره پرسنلی],0))</f>
        <v>احمدي مكي آبادي</v>
      </c>
      <c r="E5" s="31" t="str">
        <f>INDEX(data[سمت],MATCH(list[[#This Row],[شماره پرسنلی]],data[شماره پرسنلی],0))</f>
        <v>عملیات معدنی</v>
      </c>
      <c r="F5" s="31">
        <f>INDEX(data[کارکرد کل (روز)],MATCH(list[[#This Row],[شماره پرسنلی]],data[شماره پرسنلی],0))</f>
        <v>30</v>
      </c>
      <c r="G5" s="82">
        <f>INDEX(data[خالص کارکرد (ساعت)],MATCH(list[[#This Row],[شماره پرسنلی]],data[شماره پرسنلی],0))</f>
        <v>6.708333333333333</v>
      </c>
      <c r="H5" s="83">
        <f>INDEX(data[مزد ثابت],MATCH(list[[#This Row],[شماره پرسنلی]],data[شماره پرسنلی],0))</f>
        <v>1671900</v>
      </c>
      <c r="I5" s="22" t="s">
        <v>118</v>
      </c>
      <c r="J5" s="83">
        <f>INDEX(data[مزد روزانه],MATCH(list[[#This Row],[شماره پرسنلی]],data[شماره پرسنلی],0))</f>
        <v>1671900</v>
      </c>
      <c r="K5" s="83">
        <f>INDEX(data[مزد ساعتی],MATCH(list[[#This Row],[شماره پرسنلی]],data[شماره پرسنلی],0))</f>
        <v>227986.36363636368</v>
      </c>
      <c r="L5" s="83">
        <f>INDEX(data[حقوق پایه],MATCH(list[[#This Row],[شماره پرسنلی]],data[شماره پرسنلی],0))</f>
        <v>50157000</v>
      </c>
      <c r="M5" s="83">
        <f>INDEX(data[اضافه کار (ساعت)],MATCH(list[[#This Row],[شماره پرسنلی]],data[شماره پرسنلی],0))*24*list[[#This Row],[مزد ساعتی]]*1.4</f>
        <v>0</v>
      </c>
      <c r="N5" s="83">
        <f>INDEX(data[شب کاری (ساعت)],MATCH(list[[#This Row],[شماره پرسنلی]],data[شماره پرسنلی],0))*24*list[[#This Row],[مزد ساعتی]]*1.35</f>
        <v>0</v>
      </c>
      <c r="O5" s="83">
        <f>INDEX(data[جمعه کاری (ساعت)],MATCH(list[[#This Row],[شماره پرسنلی]],data[شماره پرسنلی],0))*24*list[[#This Row],[مزد ساعتی]]*تنظیمات!$B$8</f>
        <v>0</v>
      </c>
      <c r="P5" s="83">
        <f>INDEX(data[تعطیل کاری (ساعت)],MATCH(list[[#This Row],[شماره پرسنلی]],data[شماره پرسنلی],0))*24*list[[#This Row],[مزد ساعتی]]*1.4</f>
        <v>0</v>
      </c>
      <c r="Q5" s="83">
        <f>INDEX(data[حق مسکن],MATCH(list[[#This Row],[شماره پرسنلی]],data[شماره پرسنلی],0))</f>
        <v>7800000</v>
      </c>
      <c r="R5" s="83">
        <f>INDEX(data[بن کارگری],MATCH(list[[#This Row],[شماره پرسنلی]],data[شماره پرسنلی],0))</f>
        <v>10200000</v>
      </c>
      <c r="S5" s="83">
        <f>7920000*INDEX(data[تعداد اولاد مشمول],MATCH(list[[#This Row],[شماره پرسنلی]],data[شماره پرسنلی],0))*INDEX(data[نسبت کارکرد],MATCH(list[[#This Row],[شماره پرسنلی]],data[شماره پرسنلی],0))</f>
        <v>7920000</v>
      </c>
      <c r="T5" s="22" t="s">
        <v>118</v>
      </c>
      <c r="U5" s="22" t="s">
        <v>118</v>
      </c>
      <c r="V5" s="22" t="s">
        <v>118</v>
      </c>
      <c r="W5" s="22" t="s">
        <v>118</v>
      </c>
      <c r="X5" s="22" t="s">
        <v>118</v>
      </c>
      <c r="Y5" s="83">
        <f>SUM(list[[#This Row],[حقوق پایه]:[حق اولاد]])</f>
        <v>76077000</v>
      </c>
      <c r="Z5" s="83">
        <f>INDEX(data[کسرکار (ساعت)],MATCH(list[[#This Row],[شماره پرسنلی]],data[شماره پرسنلی],0))*24*list[[#This Row],[مزد روزانه]]/(تنظیمات!$B$7*24)</f>
        <v>6839590.9090909101</v>
      </c>
      <c r="AA5" s="22" t="s">
        <v>118</v>
      </c>
      <c r="AB5" s="22" t="s">
        <v>118</v>
      </c>
      <c r="AC5" s="22" t="s">
        <v>118</v>
      </c>
      <c r="AD5" s="22" t="s">
        <v>118</v>
      </c>
      <c r="AE5" s="22" t="s">
        <v>118</v>
      </c>
      <c r="AF5" s="22" t="s">
        <v>118</v>
      </c>
      <c r="AG5" s="83">
        <f>SUM(list[[#This Row],[حقوق پایه]:[بن کارگری]])</f>
        <v>68157000</v>
      </c>
      <c r="AH5" s="83">
        <f>list[[#This Row],[مشمول بیمه]]*0.07</f>
        <v>4770990</v>
      </c>
      <c r="AI5" s="83">
        <f>list[[#This Row],[مشمول بیمه]]*0.2</f>
        <v>13631400</v>
      </c>
      <c r="AJ5" s="83">
        <f>list[[#This Row],[مشمول بیمه]]*0.03</f>
        <v>2044710</v>
      </c>
      <c r="AK5" s="84">
        <f>SUM(list[[#This Row],[بیمه سهم کارگر(7%)]],list[[#This Row],[کسرکار]])</f>
        <v>11610580.90909091</v>
      </c>
      <c r="AL5" s="84">
        <f>list[[#This Row],[مجموع پرداختی]]-list[[#This Row],[مجموع کسورات]]</f>
        <v>64466419.090909094</v>
      </c>
    </row>
    <row r="6" spans="1:38" ht="19.5">
      <c r="A6" s="81">
        <f>INDEX(data[ردیف],ROW()-4)</f>
        <v>2</v>
      </c>
      <c r="B6" s="31">
        <f>INDEX(data[شماره پرسنلی],MATCH(list[[#This Row],[ردیف]],data[ردیف],0))</f>
        <v>9702201</v>
      </c>
      <c r="C6" s="31" t="str">
        <f>INDEX(data[نام],MATCH(list[[#This Row],[شماره پرسنلی]],data[شماره پرسنلی],0))</f>
        <v>ابراهيم</v>
      </c>
      <c r="D6" s="31" t="str">
        <f>INDEX(data[نام خانوادگی],MATCH(list[[#This Row],[شماره پرسنلی]],data[شماره پرسنلی],0))</f>
        <v>باستاني راد</v>
      </c>
      <c r="E6" s="31" t="str">
        <f>INDEX(data[سمت],MATCH(list[[#This Row],[شماره پرسنلی]],data[شماره پرسنلی],0))</f>
        <v>پروژه</v>
      </c>
      <c r="F6" s="31">
        <f>INDEX(data[کارکرد کل (روز)],MATCH(list[[#This Row],[شماره پرسنلی]],data[شماره پرسنلی],0))</f>
        <v>30</v>
      </c>
      <c r="G6" s="82">
        <f>INDEX(data[خالص کارکرد (ساعت)],MATCH(list[[#This Row],[شماره پرسنلی]],data[شماره پرسنلی],0))</f>
        <v>11.041666666666666</v>
      </c>
      <c r="H6" s="83">
        <f>INDEX(data[مزد ثابت],MATCH(list[[#This Row],[شماره پرسنلی]],data[شماره پرسنلی],0))</f>
        <v>1671900</v>
      </c>
      <c r="I6" s="22" t="s">
        <v>118</v>
      </c>
      <c r="J6" s="83">
        <f>INDEX(data[مزد روزانه],MATCH(list[[#This Row],[شماره پرسنلی]],data[شماره پرسنلی],0))</f>
        <v>1671900</v>
      </c>
      <c r="K6" s="83">
        <f>INDEX(data[مزد ساعتی],MATCH(list[[#This Row],[شماره پرسنلی]],data[شماره پرسنلی],0))</f>
        <v>227986.36363636368</v>
      </c>
      <c r="L6" s="83">
        <f>INDEX(data[حقوق پایه],MATCH(list[[#This Row],[شماره پرسنلی]],data[شماره پرسنلی],0))</f>
        <v>50157000</v>
      </c>
      <c r="M6" s="83">
        <f>INDEX(data[اضافه کار (ساعت)],MATCH(list[[#This Row],[شماره پرسنلی]],data[شماره پرسنلی],0))*24*list[[#This Row],[مزد ساعتی]]*1.4</f>
        <v>23619387.272727277</v>
      </c>
      <c r="N6" s="83">
        <f>INDEX(data[شب کاری (ساعت)],MATCH(list[[#This Row],[شماره پرسنلی]],data[شماره پرسنلی],0))*24*list[[#This Row],[مزد ساعتی]]*1.35</f>
        <v>0</v>
      </c>
      <c r="O6" s="83">
        <f>INDEX(data[جمعه کاری (ساعت)],MATCH(list[[#This Row],[شماره پرسنلی]],data[شماره پرسنلی],0))*24*list[[#This Row],[مزد ساعتی]]*تنظیمات!$B$8</f>
        <v>0</v>
      </c>
      <c r="P6" s="83">
        <f>INDEX(data[تعطیل کاری (ساعت)],MATCH(list[[#This Row],[شماره پرسنلی]],data[شماره پرسنلی],0))*24*list[[#This Row],[مزد ساعتی]]*1.4</f>
        <v>0</v>
      </c>
      <c r="Q6" s="83">
        <f>INDEX(data[حق مسکن],MATCH(list[[#This Row],[شماره پرسنلی]],data[شماره پرسنلی],0))</f>
        <v>7800000</v>
      </c>
      <c r="R6" s="83">
        <f>INDEX(data[بن کارگری],MATCH(list[[#This Row],[شماره پرسنلی]],data[شماره پرسنلی],0))</f>
        <v>10200000</v>
      </c>
      <c r="S6" s="83">
        <f>7920000*INDEX(data[تعداد اولاد مشمول],MATCH(list[[#This Row],[شماره پرسنلی]],data[شماره پرسنلی],0))*INDEX(data[نسبت کارکرد],MATCH(list[[#This Row],[شماره پرسنلی]],data[شماره پرسنلی],0))</f>
        <v>15840000</v>
      </c>
      <c r="T6" s="22" t="s">
        <v>118</v>
      </c>
      <c r="U6" s="22" t="s">
        <v>118</v>
      </c>
      <c r="V6" s="22" t="s">
        <v>118</v>
      </c>
      <c r="W6" s="22" t="s">
        <v>118</v>
      </c>
      <c r="X6" s="22" t="s">
        <v>118</v>
      </c>
      <c r="Y6" s="83">
        <f>SUM(list[[#This Row],[حقوق پایه]:[حق اولاد]])</f>
        <v>107616387.27272728</v>
      </c>
      <c r="Z6" s="83">
        <f>INDEX(data[کسرکار (ساعت)],MATCH(list[[#This Row],[شماره پرسنلی]],data[شماره پرسنلی],0))*24*list[[#This Row],[مزد روزانه]]/(تنظیمات!$B$7*24)</f>
        <v>0</v>
      </c>
      <c r="AA6" s="22" t="s">
        <v>118</v>
      </c>
      <c r="AB6" s="22" t="s">
        <v>118</v>
      </c>
      <c r="AC6" s="22" t="s">
        <v>118</v>
      </c>
      <c r="AD6" s="22" t="s">
        <v>118</v>
      </c>
      <c r="AE6" s="22" t="s">
        <v>118</v>
      </c>
      <c r="AF6" s="22" t="s">
        <v>118</v>
      </c>
      <c r="AG6" s="83">
        <f>SUM(list[[#This Row],[حقوق پایه]:[بن کارگری]])</f>
        <v>91776387.272727281</v>
      </c>
      <c r="AH6" s="83">
        <f>list[[#This Row],[مشمول بیمه]]*0.07</f>
        <v>6424347.1090909103</v>
      </c>
      <c r="AI6" s="83">
        <f>list[[#This Row],[مشمول بیمه]]*0.2</f>
        <v>18355277.454545457</v>
      </c>
      <c r="AJ6" s="83">
        <f>list[[#This Row],[مشمول بیمه]]*0.03</f>
        <v>2753291.6181818182</v>
      </c>
      <c r="AK6" s="84">
        <f>SUM(list[[#This Row],[بیمه سهم کارگر(7%)]],list[[#This Row],[کسرکار]])</f>
        <v>6424347.1090909103</v>
      </c>
      <c r="AL6" s="84">
        <f>list[[#This Row],[مجموع پرداختی]]-list[[#This Row],[مجموع کسورات]]</f>
        <v>101192040.16363637</v>
      </c>
    </row>
    <row r="7" spans="1:38" ht="19.5">
      <c r="A7" s="81">
        <f>INDEX(data[ردیف],ROW()-4)</f>
        <v>3</v>
      </c>
      <c r="B7" s="31">
        <f>INDEX(data[شماره پرسنلی],MATCH(list[[#This Row],[ردیف]],data[ردیف],0))</f>
        <v>9901104</v>
      </c>
      <c r="C7" s="31" t="str">
        <f>INDEX(data[نام],MATCH(list[[#This Row],[شماره پرسنلی]],data[شماره پرسنلی],0))</f>
        <v>عليرضا</v>
      </c>
      <c r="D7" s="31" t="str">
        <f>INDEX(data[نام خانوادگی],MATCH(list[[#This Row],[شماره پرسنلی]],data[شماره پرسنلی],0))</f>
        <v>رادفر</v>
      </c>
      <c r="E7" s="31" t="str">
        <f>INDEX(data[سمت],MATCH(list[[#This Row],[شماره پرسنلی]],data[شماره پرسنلی],0))</f>
        <v>حقوقی</v>
      </c>
      <c r="F7" s="31">
        <f>INDEX(data[کارکرد کل (روز)],MATCH(list[[#This Row],[شماره پرسنلی]],data[شماره پرسنلی],0))</f>
        <v>30</v>
      </c>
      <c r="G7" s="82">
        <f>INDEX(data[خالص کارکرد (ساعت)],MATCH(list[[#This Row],[شماره پرسنلی]],data[شماره پرسنلی],0))</f>
        <v>12.5</v>
      </c>
      <c r="H7" s="83">
        <f>INDEX(data[مزد ثابت],MATCH(list[[#This Row],[شماره پرسنلی]],data[شماره پرسنلی],0))</f>
        <v>1671900</v>
      </c>
      <c r="I7" s="22" t="s">
        <v>118</v>
      </c>
      <c r="J7" s="83">
        <f>INDEX(data[مزد روزانه],MATCH(list[[#This Row],[شماره پرسنلی]],data[شماره پرسنلی],0))</f>
        <v>1671900</v>
      </c>
      <c r="K7" s="83">
        <f>INDEX(data[مزد ساعتی],MATCH(list[[#This Row],[شماره پرسنلی]],data[شماره پرسنلی],0))</f>
        <v>227986.36363636368</v>
      </c>
      <c r="L7" s="83">
        <f>INDEX(data[حقوق پایه],MATCH(list[[#This Row],[شماره پرسنلی]],data[شماره پرسنلی],0))</f>
        <v>50157000</v>
      </c>
      <c r="M7" s="83">
        <f>INDEX(data[اضافه کار (ساعت)],MATCH(list[[#This Row],[شماره پرسنلی]],data[شماره پرسنلی],0))*24*list[[#This Row],[مزد ساعتی]]*1.4</f>
        <v>34790719.090909094</v>
      </c>
      <c r="N7" s="83">
        <f>INDEX(data[شب کاری (ساعت)],MATCH(list[[#This Row],[شماره پرسنلی]],data[شماره پرسنلی],0))*24*list[[#This Row],[مزد ساعتی]]*1.35</f>
        <v>0</v>
      </c>
      <c r="O7" s="83">
        <f>INDEX(data[جمعه کاری (ساعت)],MATCH(list[[#This Row],[شماره پرسنلی]],data[شماره پرسنلی],0))*24*list[[#This Row],[مزد ساعتی]]*تنظیمات!$B$8</f>
        <v>0</v>
      </c>
      <c r="P7" s="83">
        <f>INDEX(data[تعطیل کاری (ساعت)],MATCH(list[[#This Row],[شماره پرسنلی]],data[شماره پرسنلی],0))*24*list[[#This Row],[مزد ساعتی]]*1.4</f>
        <v>0</v>
      </c>
      <c r="Q7" s="83">
        <f>INDEX(data[حق مسکن],MATCH(list[[#This Row],[شماره پرسنلی]],data[شماره پرسنلی],0))</f>
        <v>7800000</v>
      </c>
      <c r="R7" s="83">
        <f>INDEX(data[بن کارگری],MATCH(list[[#This Row],[شماره پرسنلی]],data[شماره پرسنلی],0))</f>
        <v>10200000</v>
      </c>
      <c r="S7" s="83">
        <f>7920000*INDEX(data[تعداد اولاد مشمول],MATCH(list[[#This Row],[شماره پرسنلی]],data[شماره پرسنلی],0))*INDEX(data[نسبت کارکرد],MATCH(list[[#This Row],[شماره پرسنلی]],data[شماره پرسنلی],0))</f>
        <v>0</v>
      </c>
      <c r="T7" s="22" t="s">
        <v>118</v>
      </c>
      <c r="U7" s="22" t="s">
        <v>118</v>
      </c>
      <c r="V7" s="22" t="s">
        <v>118</v>
      </c>
      <c r="W7" s="22" t="s">
        <v>118</v>
      </c>
      <c r="X7" s="22" t="s">
        <v>118</v>
      </c>
      <c r="Y7" s="83">
        <f>SUM(list[[#This Row],[حقوق پایه]:[حق اولاد]])</f>
        <v>102947719.09090909</v>
      </c>
      <c r="Z7" s="83">
        <f>INDEX(data[کسرکار (ساعت)],MATCH(list[[#This Row],[شماره پرسنلی]],data[شماره پرسنلی],0))*24*list[[#This Row],[مزد روزانه]]/(تنظیمات!$B$7*24)</f>
        <v>0</v>
      </c>
      <c r="AA7" s="22" t="s">
        <v>118</v>
      </c>
      <c r="AB7" s="22" t="s">
        <v>118</v>
      </c>
      <c r="AC7" s="22" t="s">
        <v>118</v>
      </c>
      <c r="AD7" s="22" t="s">
        <v>118</v>
      </c>
      <c r="AE7" s="22" t="s">
        <v>118</v>
      </c>
      <c r="AF7" s="22" t="s">
        <v>118</v>
      </c>
      <c r="AG7" s="83">
        <f>SUM(list[[#This Row],[حقوق پایه]:[بن کارگری]])</f>
        <v>102947719.09090909</v>
      </c>
      <c r="AH7" s="83">
        <f>list[[#This Row],[مشمول بیمه]]*0.07</f>
        <v>7206340.3363636369</v>
      </c>
      <c r="AI7" s="83">
        <f>list[[#This Row],[مشمول بیمه]]*0.2</f>
        <v>20589543.81818182</v>
      </c>
      <c r="AJ7" s="83">
        <f>list[[#This Row],[مشمول بیمه]]*0.03</f>
        <v>3088431.5727272728</v>
      </c>
      <c r="AK7" s="84">
        <f>SUM(list[[#This Row],[بیمه سهم کارگر(7%)]],list[[#This Row],[کسرکار]])</f>
        <v>7206340.3363636369</v>
      </c>
      <c r="AL7" s="84">
        <f>list[[#This Row],[مجموع پرداختی]]-list[[#This Row],[مجموع کسورات]]</f>
        <v>95741378.75454545</v>
      </c>
    </row>
    <row r="8" spans="1:38" ht="19.5">
      <c r="A8" s="81">
        <f>INDEX(data[ردیف],ROW()-4)</f>
        <v>4</v>
      </c>
      <c r="B8" s="31">
        <f>INDEX(data[شماره پرسنلی],MATCH(list[[#This Row],[ردیف]],data[ردیف],0))</f>
        <v>9901105</v>
      </c>
      <c r="C8" s="31" t="str">
        <f>INDEX(data[نام],MATCH(list[[#This Row],[شماره پرسنلی]],data[شماره پرسنلی],0))</f>
        <v xml:space="preserve">غلامعباس </v>
      </c>
      <c r="D8" s="31" t="str">
        <f>INDEX(data[نام خانوادگی],MATCH(list[[#This Row],[شماره پرسنلی]],data[شماره پرسنلی],0))</f>
        <v xml:space="preserve">حافظي قهستاني </v>
      </c>
      <c r="E8" s="31" t="str">
        <f>INDEX(data[سمت],MATCH(list[[#This Row],[شماره پرسنلی]],data[شماره پرسنلی],0))</f>
        <v>عملیات معدنی</v>
      </c>
      <c r="F8" s="31">
        <f>INDEX(data[کارکرد کل (روز)],MATCH(list[[#This Row],[شماره پرسنلی]],data[شماره پرسنلی],0))</f>
        <v>30</v>
      </c>
      <c r="G8" s="82">
        <f>INDEX(data[خالص کارکرد (ساعت)],MATCH(list[[#This Row],[شماره پرسنلی]],data[شماره پرسنلی],0))</f>
        <v>0</v>
      </c>
      <c r="H8" s="83">
        <f>INDEX(data[مزد ثابت],MATCH(list[[#This Row],[شماره پرسنلی]],data[شماره پرسنلی],0))</f>
        <v>1671900</v>
      </c>
      <c r="I8" s="22" t="s">
        <v>118</v>
      </c>
      <c r="J8" s="83">
        <f>INDEX(data[مزد روزانه],MATCH(list[[#This Row],[شماره پرسنلی]],data[شماره پرسنلی],0))</f>
        <v>1671900</v>
      </c>
      <c r="K8" s="83">
        <f>INDEX(data[مزد ساعتی],MATCH(list[[#This Row],[شماره پرسنلی]],data[شماره پرسنلی],0))</f>
        <v>227986.36363636368</v>
      </c>
      <c r="L8" s="83">
        <f>INDEX(data[حقوق پایه],MATCH(list[[#This Row],[شماره پرسنلی]],data[شماره پرسنلی],0))</f>
        <v>50157000</v>
      </c>
      <c r="M8" s="83">
        <f>INDEX(data[اضافه کار (ساعت)],MATCH(list[[#This Row],[شماره پرسنلی]],data[شماره پرسنلی],0))*24*list[[#This Row],[مزد ساعتی]]*1.4</f>
        <v>0</v>
      </c>
      <c r="N8" s="83">
        <f>INDEX(data[شب کاری (ساعت)],MATCH(list[[#This Row],[شماره پرسنلی]],data[شماره پرسنلی],0))*24*list[[#This Row],[مزد ساعتی]]*1.35</f>
        <v>0</v>
      </c>
      <c r="O8" s="83">
        <f>INDEX(data[جمعه کاری (ساعت)],MATCH(list[[#This Row],[شماره پرسنلی]],data[شماره پرسنلی],0))*24*list[[#This Row],[مزد ساعتی]]*تنظیمات!$B$8</f>
        <v>0</v>
      </c>
      <c r="P8" s="83">
        <f>INDEX(data[تعطیل کاری (ساعت)],MATCH(list[[#This Row],[شماره پرسنلی]],data[شماره پرسنلی],0))*24*list[[#This Row],[مزد ساعتی]]*1.4</f>
        <v>0</v>
      </c>
      <c r="Q8" s="83">
        <f>INDEX(data[حق مسکن],MATCH(list[[#This Row],[شماره پرسنلی]],data[شماره پرسنلی],0))</f>
        <v>7800000</v>
      </c>
      <c r="R8" s="83">
        <f>INDEX(data[بن کارگری],MATCH(list[[#This Row],[شماره پرسنلی]],data[شماره پرسنلی],0))</f>
        <v>10200000</v>
      </c>
      <c r="S8" s="83">
        <f>7920000*INDEX(data[تعداد اولاد مشمول],MATCH(list[[#This Row],[شماره پرسنلی]],data[شماره پرسنلی],0))*INDEX(data[نسبت کارکرد],MATCH(list[[#This Row],[شماره پرسنلی]],data[شماره پرسنلی],0))</f>
        <v>0</v>
      </c>
      <c r="T8" s="22" t="s">
        <v>118</v>
      </c>
      <c r="U8" s="22" t="s">
        <v>118</v>
      </c>
      <c r="V8" s="22" t="s">
        <v>118</v>
      </c>
      <c r="W8" s="22" t="s">
        <v>118</v>
      </c>
      <c r="X8" s="22" t="s">
        <v>118</v>
      </c>
      <c r="Y8" s="83">
        <f>SUM(list[[#This Row],[حقوق پایه]:[حق اولاد]])</f>
        <v>68157000</v>
      </c>
      <c r="Z8" s="83">
        <f>INDEX(data[کسرکار (ساعت)],MATCH(list[[#This Row],[شماره پرسنلی]],data[شماره پرسنلی],0))*24*list[[#This Row],[مزد روزانه]]/(تنظیمات!$B$7*24)</f>
        <v>43545395.454545461</v>
      </c>
      <c r="AA8" s="22" t="s">
        <v>118</v>
      </c>
      <c r="AB8" s="22" t="s">
        <v>118</v>
      </c>
      <c r="AC8" s="22" t="s">
        <v>118</v>
      </c>
      <c r="AD8" s="22" t="s">
        <v>118</v>
      </c>
      <c r="AE8" s="22" t="s">
        <v>118</v>
      </c>
      <c r="AF8" s="22" t="s">
        <v>118</v>
      </c>
      <c r="AG8" s="83">
        <f>SUM(list[[#This Row],[حقوق پایه]:[بن کارگری]])</f>
        <v>68157000</v>
      </c>
      <c r="AH8" s="83">
        <f>list[[#This Row],[مشمول بیمه]]*0.07</f>
        <v>4770990</v>
      </c>
      <c r="AI8" s="83">
        <f>list[[#This Row],[مشمول بیمه]]*0.2</f>
        <v>13631400</v>
      </c>
      <c r="AJ8" s="83">
        <f>list[[#This Row],[مشمول بیمه]]*0.03</f>
        <v>2044710</v>
      </c>
      <c r="AK8" s="84">
        <f>SUM(list[[#This Row],[بیمه سهم کارگر(7%)]],list[[#This Row],[کسرکار]])</f>
        <v>48316385.454545461</v>
      </c>
      <c r="AL8" s="84">
        <f>list[[#This Row],[مجموع پرداختی]]-list[[#This Row],[مجموع کسورات]]</f>
        <v>19840614.545454539</v>
      </c>
    </row>
    <row r="9" spans="1:38" ht="19.5">
      <c r="A9" s="81">
        <f>INDEX(data[ردیف],ROW()-4)</f>
        <v>5</v>
      </c>
      <c r="B9" s="31">
        <f>INDEX(data[شماره پرسنلی],MATCH(list[[#This Row],[ردیف]],data[ردیف],0))</f>
        <v>9901106</v>
      </c>
      <c r="C9" s="31" t="str">
        <f>INDEX(data[نام],MATCH(list[[#This Row],[شماره پرسنلی]],data[شماره پرسنلی],0))</f>
        <v>علي</v>
      </c>
      <c r="D9" s="31" t="str">
        <f>INDEX(data[نام خانوادگی],MATCH(list[[#This Row],[شماره پرسنلی]],data[شماره پرسنلی],0))</f>
        <v>خواجوئي  قرايي</v>
      </c>
      <c r="E9" s="31" t="str">
        <f>INDEX(data[سمت],MATCH(list[[#This Row],[شماره پرسنلی]],data[شماره پرسنلی],0))</f>
        <v>عملیات معدنی</v>
      </c>
      <c r="F9" s="31">
        <f>INDEX(data[کارکرد کل (روز)],MATCH(list[[#This Row],[شماره پرسنلی]],data[شماره پرسنلی],0))</f>
        <v>30</v>
      </c>
      <c r="G9" s="82">
        <f>INDEX(data[خالص کارکرد (ساعت)],MATCH(list[[#This Row],[شماره پرسنلی]],data[شماره پرسنلی],0))</f>
        <v>11.0451388888889</v>
      </c>
      <c r="H9" s="83">
        <f>INDEX(data[مزد ثابت],MATCH(list[[#This Row],[شماره پرسنلی]],data[شماره پرسنلی],0))</f>
        <v>1671900</v>
      </c>
      <c r="I9" s="22" t="s">
        <v>118</v>
      </c>
      <c r="J9" s="83">
        <f>INDEX(data[مزد روزانه],MATCH(list[[#This Row],[شماره پرسنلی]],data[شماره پرسنلی],0))</f>
        <v>1671900</v>
      </c>
      <c r="K9" s="83">
        <f>INDEX(data[مزد ساعتی],MATCH(list[[#This Row],[شماره پرسنلی]],data[شماره پرسنلی],0))</f>
        <v>227986.36363636368</v>
      </c>
      <c r="L9" s="83">
        <f>INDEX(data[حقوق پایه],MATCH(list[[#This Row],[شماره پرسنلی]],data[شماره پرسنلی],0))</f>
        <v>50157000</v>
      </c>
      <c r="M9" s="83">
        <f>INDEX(data[اضافه کار (ساعت)],MATCH(list[[#This Row],[شماره پرسنلی]],data[شماره پرسنلی],0))*24*list[[#This Row],[مزد ساعتی]]*1.4</f>
        <v>23645985.681818269</v>
      </c>
      <c r="N9" s="83">
        <f>INDEX(data[شب کاری (ساعت)],MATCH(list[[#This Row],[شماره پرسنلی]],data[شماره پرسنلی],0))*24*list[[#This Row],[مزد ساعتی]]*1.35</f>
        <v>0</v>
      </c>
      <c r="O9" s="83">
        <f>INDEX(data[جمعه کاری (ساعت)],MATCH(list[[#This Row],[شماره پرسنلی]],data[شماره پرسنلی],0))*24*list[[#This Row],[مزد ساعتی]]*تنظیمات!$B$8</f>
        <v>0</v>
      </c>
      <c r="P9" s="83">
        <f>INDEX(data[تعطیل کاری (ساعت)],MATCH(list[[#This Row],[شماره پرسنلی]],data[شماره پرسنلی],0))*24*list[[#This Row],[مزد ساعتی]]*1.4</f>
        <v>0</v>
      </c>
      <c r="Q9" s="83">
        <f>INDEX(data[حق مسکن],MATCH(list[[#This Row],[شماره پرسنلی]],data[شماره پرسنلی],0))</f>
        <v>7800000</v>
      </c>
      <c r="R9" s="83">
        <f>INDEX(data[بن کارگری],MATCH(list[[#This Row],[شماره پرسنلی]],data[شماره پرسنلی],0))</f>
        <v>10200000</v>
      </c>
      <c r="S9" s="83">
        <f>7920000*INDEX(data[تعداد اولاد مشمول],MATCH(list[[#This Row],[شماره پرسنلی]],data[شماره پرسنلی],0))*INDEX(data[نسبت کارکرد],MATCH(list[[#This Row],[شماره پرسنلی]],data[شماره پرسنلی],0))</f>
        <v>0</v>
      </c>
      <c r="T9" s="22" t="s">
        <v>118</v>
      </c>
      <c r="U9" s="22" t="s">
        <v>118</v>
      </c>
      <c r="V9" s="22" t="s">
        <v>118</v>
      </c>
      <c r="W9" s="22" t="s">
        <v>118</v>
      </c>
      <c r="X9" s="22" t="s">
        <v>118</v>
      </c>
      <c r="Y9" s="83">
        <f>SUM(list[[#This Row],[حقوق پایه]:[حق اولاد]])</f>
        <v>91802985.681818277</v>
      </c>
      <c r="Z9" s="83">
        <f>INDEX(data[کسرکار (ساعت)],MATCH(list[[#This Row],[شماره پرسنلی]],data[شماره پرسنلی],0))*24*list[[#This Row],[مزد روزانه]]/(تنظیمات!$B$7*24)</f>
        <v>0</v>
      </c>
      <c r="AA9" s="22" t="s">
        <v>118</v>
      </c>
      <c r="AB9" s="22" t="s">
        <v>118</v>
      </c>
      <c r="AC9" s="22" t="s">
        <v>118</v>
      </c>
      <c r="AD9" s="22" t="s">
        <v>118</v>
      </c>
      <c r="AE9" s="22" t="s">
        <v>118</v>
      </c>
      <c r="AF9" s="22" t="s">
        <v>118</v>
      </c>
      <c r="AG9" s="83">
        <f>SUM(list[[#This Row],[حقوق پایه]:[بن کارگری]])</f>
        <v>91802985.681818277</v>
      </c>
      <c r="AH9" s="83">
        <f>list[[#This Row],[مشمول بیمه]]*0.07</f>
        <v>6426208.9977272796</v>
      </c>
      <c r="AI9" s="83">
        <f>list[[#This Row],[مشمول بیمه]]*0.2</f>
        <v>18360597.136363655</v>
      </c>
      <c r="AJ9" s="83">
        <f>list[[#This Row],[مشمول بیمه]]*0.03</f>
        <v>2754089.5704545481</v>
      </c>
      <c r="AK9" s="84">
        <f>SUM(list[[#This Row],[بیمه سهم کارگر(7%)]],list[[#This Row],[کسرکار]])</f>
        <v>6426208.9977272796</v>
      </c>
      <c r="AL9" s="84">
        <f>list[[#This Row],[مجموع پرداختی]]-list[[#This Row],[مجموع کسورات]]</f>
        <v>85376776.684091002</v>
      </c>
    </row>
    <row r="10" spans="1:38" ht="15.75" thickBot="1"/>
    <row r="11" spans="1:38" ht="30.75" customHeight="1">
      <c r="A11" s="134" t="s">
        <v>149</v>
      </c>
      <c r="B11" s="135"/>
      <c r="C11" s="135"/>
      <c r="D11" s="135"/>
      <c r="E11" s="135"/>
      <c r="F11" s="135"/>
      <c r="G11" s="136"/>
      <c r="H11" s="78"/>
      <c r="X11" s="30"/>
      <c r="Y11" s="30"/>
      <c r="Z11" s="30"/>
      <c r="AA11" s="30"/>
      <c r="AB11" s="30"/>
      <c r="AC11" s="30"/>
      <c r="AD11" s="30"/>
      <c r="AE11" s="30"/>
      <c r="AF11" s="30"/>
      <c r="AG11" s="30"/>
      <c r="AH11" s="30"/>
      <c r="AI11" s="30"/>
      <c r="AJ11" s="30"/>
    </row>
    <row r="12" spans="1:38" ht="18" customHeight="1">
      <c r="A12" s="137"/>
      <c r="B12" s="138"/>
      <c r="C12" s="138"/>
      <c r="D12" s="138"/>
      <c r="E12" s="138"/>
      <c r="F12" s="138"/>
      <c r="G12" s="139"/>
      <c r="X12" s="30"/>
      <c r="Y12" s="30"/>
      <c r="Z12" s="30"/>
      <c r="AA12" s="30"/>
      <c r="AB12" s="30"/>
      <c r="AC12" s="30"/>
      <c r="AD12" s="30"/>
      <c r="AE12" s="30"/>
      <c r="AF12" s="30"/>
      <c r="AG12" s="30"/>
      <c r="AH12" s="30"/>
      <c r="AI12" s="30"/>
      <c r="AJ12" s="30"/>
    </row>
    <row r="13" spans="1:38" ht="24" customHeight="1" thickBot="1">
      <c r="A13" s="140"/>
      <c r="B13" s="141"/>
      <c r="C13" s="141"/>
      <c r="D13" s="141"/>
      <c r="E13" s="141"/>
      <c r="F13" s="141"/>
      <c r="G13" s="142"/>
      <c r="X13" s="30"/>
      <c r="Y13" s="30"/>
      <c r="Z13" s="30"/>
      <c r="AA13" s="30"/>
      <c r="AB13" s="30"/>
      <c r="AC13" s="30"/>
      <c r="AD13" s="30"/>
      <c r="AE13" s="30"/>
      <c r="AF13" s="30"/>
      <c r="AG13" s="30"/>
      <c r="AH13" s="30"/>
      <c r="AI13" s="30"/>
      <c r="AJ13" s="30"/>
    </row>
    <row r="14" spans="1:38" ht="24" customHeight="1">
      <c r="A14" s="30"/>
      <c r="B14" s="30"/>
      <c r="C14" s="30"/>
      <c r="D14" s="30"/>
      <c r="E14" s="30"/>
      <c r="F14" s="30"/>
      <c r="G14" s="30"/>
      <c r="H14" s="30"/>
      <c r="I14" s="30"/>
      <c r="X14" s="30"/>
      <c r="Y14" s="30"/>
      <c r="Z14" s="30"/>
      <c r="AA14" s="30"/>
      <c r="AB14" s="30"/>
      <c r="AC14" s="30"/>
      <c r="AD14" s="30"/>
      <c r="AE14" s="30"/>
      <c r="AF14" s="30"/>
      <c r="AG14" s="30"/>
      <c r="AH14" s="30"/>
      <c r="AI14" s="30"/>
      <c r="AJ14" s="30"/>
    </row>
    <row r="15" spans="1:38" ht="24" customHeight="1">
      <c r="A15" s="30"/>
      <c r="B15" s="30"/>
      <c r="C15" s="30"/>
      <c r="D15" s="30"/>
      <c r="E15" s="30"/>
      <c r="F15" s="30"/>
      <c r="G15" s="30"/>
      <c r="H15" s="30"/>
      <c r="I15" s="30"/>
      <c r="S15" s="30"/>
      <c r="T15" s="30"/>
      <c r="U15" s="30"/>
      <c r="V15" s="30"/>
      <c r="W15" s="30"/>
      <c r="X15" s="30"/>
      <c r="Y15" s="30"/>
      <c r="Z15" s="30"/>
      <c r="AA15" s="30"/>
      <c r="AB15" s="30"/>
      <c r="AC15" s="30"/>
      <c r="AD15" s="30"/>
      <c r="AE15" s="30"/>
      <c r="AF15" s="30"/>
      <c r="AG15" s="30"/>
      <c r="AH15" s="30"/>
      <c r="AI15" s="30"/>
      <c r="AJ15" s="30"/>
    </row>
    <row r="16" spans="1:38" ht="24" customHeight="1">
      <c r="A16" s="30"/>
      <c r="B16" s="30"/>
      <c r="C16" s="30"/>
      <c r="D16" s="30"/>
      <c r="E16" s="30"/>
      <c r="F16" s="30"/>
      <c r="G16" s="30"/>
      <c r="H16" s="30"/>
      <c r="I16" s="30"/>
      <c r="S16" s="30"/>
      <c r="T16" s="30"/>
      <c r="U16" s="30"/>
      <c r="V16" s="30"/>
      <c r="W16" s="30"/>
      <c r="X16" s="30"/>
      <c r="Y16" s="30"/>
      <c r="Z16" s="30"/>
      <c r="AA16" s="30"/>
      <c r="AB16" s="30"/>
      <c r="AC16" s="30"/>
      <c r="AD16" s="30"/>
      <c r="AE16" s="30"/>
      <c r="AF16" s="30"/>
      <c r="AG16" s="30"/>
      <c r="AH16" s="30"/>
      <c r="AI16" s="30"/>
      <c r="AJ16" s="30"/>
    </row>
    <row r="17" spans="1:36" ht="24" customHeight="1">
      <c r="A17" s="30"/>
      <c r="B17" s="30"/>
      <c r="C17" s="30"/>
      <c r="D17" s="30"/>
      <c r="E17" s="30"/>
      <c r="F17" s="30"/>
      <c r="G17" s="30"/>
      <c r="H17" s="30"/>
      <c r="I17" s="30"/>
      <c r="X17" s="30"/>
      <c r="Y17" s="30"/>
      <c r="Z17" s="30"/>
      <c r="AA17" s="30"/>
      <c r="AB17" s="30"/>
      <c r="AC17" s="30"/>
      <c r="AD17" s="30"/>
      <c r="AE17" s="30"/>
      <c r="AF17" s="30"/>
      <c r="AG17" s="30"/>
      <c r="AH17" s="30"/>
      <c r="AI17" s="30"/>
      <c r="AJ17" s="30"/>
    </row>
    <row r="18" spans="1:36" ht="24" customHeight="1">
      <c r="A18" s="30"/>
      <c r="B18" s="30"/>
      <c r="C18" s="30"/>
      <c r="D18" s="30"/>
      <c r="E18" s="30"/>
      <c r="F18" s="30"/>
      <c r="G18" s="30"/>
      <c r="H18" s="30"/>
      <c r="I18" s="30"/>
      <c r="X18" s="30"/>
      <c r="Y18" s="30"/>
      <c r="Z18" s="30"/>
      <c r="AA18" s="30"/>
      <c r="AB18" s="30"/>
      <c r="AC18" s="30"/>
      <c r="AD18" s="30"/>
      <c r="AE18" s="30"/>
      <c r="AF18" s="30"/>
      <c r="AG18" s="30"/>
      <c r="AH18" s="30"/>
      <c r="AI18" s="30"/>
      <c r="AJ18" s="30"/>
    </row>
    <row r="19" spans="1:36" ht="24" customHeight="1">
      <c r="A19" s="30"/>
      <c r="B19" s="30"/>
      <c r="C19" s="30"/>
      <c r="D19" s="30"/>
      <c r="E19" s="30"/>
      <c r="F19" s="30"/>
      <c r="G19" s="30"/>
      <c r="H19" s="30"/>
      <c r="I19" s="30"/>
      <c r="X19" s="30"/>
      <c r="Y19" s="30"/>
      <c r="Z19" s="30"/>
      <c r="AA19" s="30"/>
      <c r="AB19" s="30"/>
      <c r="AC19" s="30"/>
      <c r="AD19" s="30"/>
      <c r="AE19" s="30"/>
      <c r="AF19" s="30"/>
      <c r="AG19" s="30"/>
      <c r="AH19" s="30"/>
      <c r="AI19" s="30"/>
      <c r="AJ19" s="30"/>
    </row>
    <row r="20" spans="1:36" ht="15" customHeight="1">
      <c r="A20" s="30"/>
      <c r="B20" s="30"/>
      <c r="C20" s="30"/>
      <c r="D20" s="30"/>
      <c r="E20" s="30"/>
      <c r="F20" s="30"/>
      <c r="G20" s="30"/>
      <c r="H20" s="30"/>
      <c r="I20" s="30"/>
      <c r="T20" s="30"/>
      <c r="U20" s="30"/>
      <c r="V20" s="30"/>
      <c r="W20" s="30"/>
      <c r="X20" s="30"/>
      <c r="Y20" s="30"/>
      <c r="Z20" s="30"/>
      <c r="AA20" s="30"/>
      <c r="AB20" s="30"/>
      <c r="AC20" s="30"/>
      <c r="AD20" s="30"/>
      <c r="AE20" s="30"/>
      <c r="AF20" s="30"/>
      <c r="AG20" s="30"/>
      <c r="AH20" s="30"/>
      <c r="AI20" s="30"/>
      <c r="AJ20" s="30"/>
    </row>
    <row r="21" spans="1:36" ht="15" customHeight="1">
      <c r="A21" s="30"/>
      <c r="B21" s="30"/>
      <c r="C21" s="30"/>
      <c r="D21" s="30"/>
      <c r="E21" s="30"/>
      <c r="F21" s="30"/>
      <c r="G21" s="30"/>
      <c r="H21" s="30"/>
      <c r="I21" s="30"/>
      <c r="AG21" s="30"/>
      <c r="AH21" s="30"/>
      <c r="AI21" s="30"/>
      <c r="AJ21" s="30"/>
    </row>
  </sheetData>
  <sheetProtection algorithmName="SHA-512" hashValue="PmppNPldVcjLEnyKafNA64cruoQfg0jXOS7Q80GzzNUTTVpL1PG3+sorPoe+YKswV+ke0CukT8EF5cYrj0hd9g==" saltValue="xihiutMMx5R0vV+bUbq00A==" spinCount="100000" sheet="1" selectLockedCells="1"/>
  <mergeCells count="1">
    <mergeCell ref="A11:G13"/>
  </mergeCells>
  <pageMargins left="0.7" right="0.7" top="0.75" bottom="0.75" header="0.3" footer="0.3"/>
  <pageSetup orientation="portrait" verticalDpi="0" r:id="rId1"/>
  <ignoredErrors>
    <ignoredError sqref="I5:I9 AE5:AF9" calculatedColumn="1"/>
    <ignoredError sqref="A5:H7 J6:L9 Y5:Z9 AG5:AL9 J5:L5 Q5:R5 Q6:R9 O5 O6:O9 M5:N5 M6:N9 P6:P9 P5 A9:H9 A8:D8 F8:H8" unlockedFormula="1"/>
  </ignoredErrors>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rightToLeft="1" zoomScaleNormal="100" zoomScaleSheetLayoutView="100" workbookViewId="0">
      <selection activeCell="E2" sqref="E2"/>
    </sheetView>
  </sheetViews>
  <sheetFormatPr defaultRowHeight="15"/>
  <cols>
    <col min="1" max="1" width="0.42578125" style="30" customWidth="1"/>
    <col min="2" max="2" width="15.42578125" style="30" bestFit="1" customWidth="1"/>
    <col min="3" max="3" width="11.85546875" style="30" customWidth="1"/>
    <col min="4" max="4" width="15.5703125" style="30" customWidth="1"/>
    <col min="5" max="5" width="15.7109375" style="30" customWidth="1"/>
    <col min="6" max="7" width="9.140625" style="30"/>
    <col min="8" max="8" width="13.5703125" style="30" bestFit="1" customWidth="1"/>
    <col min="9" max="11" width="9.140625" style="30"/>
    <col min="12" max="12" width="14.28515625" style="30" customWidth="1"/>
    <col min="13" max="13" width="14.42578125" style="30" customWidth="1"/>
    <col min="14" max="14" width="9.140625" style="30"/>
    <col min="15" max="15" width="13.5703125" style="30" customWidth="1"/>
    <col min="16" max="16384" width="9.140625" style="30"/>
  </cols>
  <sheetData>
    <row r="1" spans="1:16" ht="17.25">
      <c r="A1" s="40">
        <v>1</v>
      </c>
      <c r="C1" s="41"/>
      <c r="D1" s="41"/>
      <c r="E1" s="41"/>
    </row>
    <row r="2" spans="1:16" ht="13.5" customHeight="1">
      <c r="A2" s="41"/>
      <c r="B2" s="41"/>
      <c r="C2" s="42" t="str">
        <f>"فیش حقوقی - "&amp;تنظیمات!$B$3</f>
        <v>فیش حقوقی - شرکت البزر ایرانیان</v>
      </c>
      <c r="E2" s="41"/>
    </row>
    <row r="3" spans="1:16" ht="13.5" customHeight="1">
      <c r="A3" s="41"/>
      <c r="B3" s="43"/>
      <c r="C3" s="44" t="str">
        <f>'داده ها'!$C$2&amp;" "&amp;'داده ها'!$C$3</f>
        <v>آبان 1402</v>
      </c>
      <c r="E3" s="43"/>
    </row>
    <row r="4" spans="1:16" ht="13.5" customHeight="1">
      <c r="A4" s="41"/>
      <c r="B4" s="43"/>
      <c r="C4" s="43"/>
      <c r="D4" s="43"/>
      <c r="E4" s="43"/>
    </row>
    <row r="5" spans="1:16" ht="13.5" customHeight="1" thickBot="1">
      <c r="A5" s="41"/>
      <c r="B5" s="45" t="s">
        <v>6</v>
      </c>
      <c r="C5" s="46" t="s">
        <v>38</v>
      </c>
      <c r="D5" s="45" t="s">
        <v>7</v>
      </c>
      <c r="E5" s="46" t="s">
        <v>39</v>
      </c>
    </row>
    <row r="6" spans="1:16" ht="13.5" customHeight="1">
      <c r="A6" s="41"/>
      <c r="B6" s="45" t="s">
        <v>70</v>
      </c>
      <c r="C6" s="47">
        <v>9701104</v>
      </c>
      <c r="D6" s="45" t="s">
        <v>8</v>
      </c>
      <c r="E6" s="47" t="s">
        <v>40</v>
      </c>
      <c r="H6" s="45" t="s">
        <v>71</v>
      </c>
      <c r="I6" s="48"/>
      <c r="J6" s="143" t="s">
        <v>144</v>
      </c>
      <c r="K6" s="144"/>
      <c r="L6" s="145"/>
    </row>
    <row r="7" spans="1:16" ht="13.5" customHeight="1" thickBot="1">
      <c r="A7" s="41"/>
      <c r="B7" s="49"/>
      <c r="C7" s="49"/>
      <c r="D7" s="49"/>
      <c r="E7" s="49"/>
      <c r="H7" s="50"/>
      <c r="I7" s="51"/>
      <c r="J7" s="146"/>
      <c r="K7" s="147"/>
      <c r="L7" s="148"/>
    </row>
    <row r="8" spans="1:16" ht="13.5" customHeight="1">
      <c r="A8" s="41"/>
      <c r="B8" s="45" t="s">
        <v>9</v>
      </c>
      <c r="C8" s="47">
        <v>30</v>
      </c>
      <c r="D8" s="45" t="s">
        <v>18</v>
      </c>
      <c r="E8" s="52">
        <v>10.8333333333333</v>
      </c>
      <c r="H8" s="164" t="s">
        <v>146</v>
      </c>
      <c r="I8" s="165"/>
      <c r="J8" s="165"/>
      <c r="K8" s="165"/>
      <c r="L8" s="165"/>
      <c r="M8" s="165"/>
      <c r="N8" s="165"/>
      <c r="O8" s="165"/>
      <c r="P8" s="166"/>
    </row>
    <row r="9" spans="1:16" ht="13.5" customHeight="1">
      <c r="A9" s="41"/>
      <c r="B9" s="45" t="s">
        <v>72</v>
      </c>
      <c r="C9" s="52">
        <v>3.2083333333333299</v>
      </c>
      <c r="D9" s="45" t="s">
        <v>73</v>
      </c>
      <c r="E9" s="52">
        <v>0</v>
      </c>
      <c r="H9" s="167"/>
      <c r="I9" s="168"/>
      <c r="J9" s="168"/>
      <c r="K9" s="168"/>
      <c r="L9" s="168"/>
      <c r="M9" s="168"/>
      <c r="N9" s="168"/>
      <c r="O9" s="168"/>
      <c r="P9" s="169"/>
    </row>
    <row r="10" spans="1:16" ht="13.5" customHeight="1">
      <c r="A10" s="41"/>
      <c r="B10" s="45" t="s">
        <v>15</v>
      </c>
      <c r="C10" s="52">
        <v>0</v>
      </c>
      <c r="D10" s="45" t="s">
        <v>16</v>
      </c>
      <c r="E10" s="52">
        <v>0</v>
      </c>
      <c r="H10" s="167"/>
      <c r="I10" s="168"/>
      <c r="J10" s="168"/>
      <c r="K10" s="168"/>
      <c r="L10" s="168"/>
      <c r="M10" s="168"/>
      <c r="N10" s="168"/>
      <c r="O10" s="168"/>
      <c r="P10" s="169"/>
    </row>
    <row r="11" spans="1:16" ht="13.5" customHeight="1">
      <c r="A11" s="41"/>
      <c r="B11" s="49"/>
      <c r="C11" s="49"/>
      <c r="D11" s="49"/>
      <c r="E11" s="49"/>
      <c r="H11" s="167"/>
      <c r="I11" s="168"/>
      <c r="J11" s="168"/>
      <c r="K11" s="168"/>
      <c r="L11" s="168"/>
      <c r="M11" s="168"/>
      <c r="N11" s="168"/>
      <c r="O11" s="168"/>
      <c r="P11" s="169"/>
    </row>
    <row r="12" spans="1:16" ht="13.5" customHeight="1">
      <c r="A12" s="41"/>
      <c r="B12" s="45" t="s">
        <v>21</v>
      </c>
      <c r="C12" s="53">
        <v>885165</v>
      </c>
      <c r="D12" s="45" t="s">
        <v>74</v>
      </c>
      <c r="E12" s="54">
        <v>0</v>
      </c>
      <c r="H12" s="167"/>
      <c r="I12" s="168"/>
      <c r="J12" s="168"/>
      <c r="K12" s="168"/>
      <c r="L12" s="168"/>
      <c r="M12" s="168"/>
      <c r="N12" s="168"/>
      <c r="O12" s="168"/>
      <c r="P12" s="169"/>
    </row>
    <row r="13" spans="1:16" ht="13.5" customHeight="1">
      <c r="A13" s="41"/>
      <c r="B13" s="45" t="s">
        <v>22</v>
      </c>
      <c r="C13" s="53">
        <v>0</v>
      </c>
      <c r="D13" s="49"/>
      <c r="E13" s="41"/>
      <c r="H13" s="167"/>
      <c r="I13" s="168"/>
      <c r="J13" s="168"/>
      <c r="K13" s="168"/>
      <c r="L13" s="168"/>
      <c r="M13" s="168"/>
      <c r="N13" s="168"/>
      <c r="O13" s="168"/>
      <c r="P13" s="169"/>
    </row>
    <row r="14" spans="1:16" ht="13.5" customHeight="1">
      <c r="A14" s="41"/>
      <c r="B14" s="45" t="s">
        <v>75</v>
      </c>
      <c r="C14" s="53">
        <v>885165</v>
      </c>
      <c r="D14" s="49"/>
      <c r="E14" s="41"/>
      <c r="H14" s="167"/>
      <c r="I14" s="168"/>
      <c r="J14" s="168"/>
      <c r="K14" s="168"/>
      <c r="L14" s="168"/>
      <c r="M14" s="168"/>
      <c r="N14" s="168"/>
      <c r="O14" s="168"/>
      <c r="P14" s="169"/>
    </row>
    <row r="15" spans="1:16" ht="13.5" customHeight="1">
      <c r="A15" s="41"/>
      <c r="D15" s="55"/>
      <c r="E15" s="55"/>
      <c r="H15" s="167"/>
      <c r="I15" s="168"/>
      <c r="J15" s="168"/>
      <c r="K15" s="168"/>
      <c r="L15" s="168"/>
      <c r="M15" s="168"/>
      <c r="N15" s="168"/>
      <c r="O15" s="168"/>
      <c r="P15" s="169"/>
    </row>
    <row r="16" spans="1:16" ht="13.5" customHeight="1">
      <c r="A16" s="41"/>
      <c r="B16" s="45" t="s">
        <v>25</v>
      </c>
      <c r="C16" s="53">
        <v>26554950</v>
      </c>
      <c r="D16" s="55"/>
      <c r="E16" s="55"/>
      <c r="H16" s="167"/>
      <c r="I16" s="168"/>
      <c r="J16" s="168"/>
      <c r="K16" s="168"/>
      <c r="L16" s="168"/>
      <c r="M16" s="168"/>
      <c r="N16" s="168"/>
      <c r="O16" s="168"/>
      <c r="P16" s="169"/>
    </row>
    <row r="17" spans="1:16" ht="13.5" customHeight="1">
      <c r="A17" s="41"/>
      <c r="B17" s="45" t="s">
        <v>76</v>
      </c>
      <c r="C17" s="53">
        <v>3717693</v>
      </c>
      <c r="D17" s="55"/>
      <c r="E17" s="55"/>
      <c r="H17" s="167"/>
      <c r="I17" s="168"/>
      <c r="J17" s="168"/>
      <c r="K17" s="168"/>
      <c r="L17" s="168"/>
      <c r="M17" s="168"/>
      <c r="N17" s="168"/>
      <c r="O17" s="168"/>
      <c r="P17" s="169"/>
    </row>
    <row r="18" spans="1:16" ht="13.5" customHeight="1">
      <c r="A18" s="41"/>
      <c r="B18" s="45" t="s">
        <v>55</v>
      </c>
      <c r="C18" s="53">
        <v>0</v>
      </c>
      <c r="D18" s="56"/>
      <c r="E18" s="56"/>
      <c r="H18" s="167"/>
      <c r="I18" s="168"/>
      <c r="J18" s="168"/>
      <c r="K18" s="168"/>
      <c r="L18" s="168"/>
      <c r="M18" s="168"/>
      <c r="N18" s="168"/>
      <c r="O18" s="168"/>
      <c r="P18" s="169"/>
    </row>
    <row r="19" spans="1:16" ht="13.5" customHeight="1">
      <c r="A19" s="41"/>
      <c r="B19" s="45" t="s">
        <v>54</v>
      </c>
      <c r="C19" s="53">
        <v>0</v>
      </c>
      <c r="D19" s="55"/>
      <c r="E19" s="55"/>
      <c r="H19" s="167"/>
      <c r="I19" s="168"/>
      <c r="J19" s="168"/>
      <c r="K19" s="168"/>
      <c r="L19" s="168"/>
      <c r="M19" s="168"/>
      <c r="N19" s="168"/>
      <c r="O19" s="168"/>
      <c r="P19" s="169"/>
    </row>
    <row r="20" spans="1:16" ht="13.5" customHeight="1">
      <c r="A20" s="41"/>
      <c r="B20" s="45" t="s">
        <v>77</v>
      </c>
      <c r="C20" s="53">
        <v>4500000</v>
      </c>
      <c r="D20" s="45" t="s">
        <v>32</v>
      </c>
      <c r="E20" s="57" t="s">
        <v>118</v>
      </c>
      <c r="H20" s="167"/>
      <c r="I20" s="168"/>
      <c r="J20" s="168"/>
      <c r="K20" s="168"/>
      <c r="L20" s="168"/>
      <c r="M20" s="168"/>
      <c r="N20" s="168"/>
      <c r="O20" s="168"/>
      <c r="P20" s="169"/>
    </row>
    <row r="21" spans="1:16" ht="13.5" customHeight="1" thickBot="1">
      <c r="A21" s="41"/>
      <c r="B21" s="45" t="s">
        <v>78</v>
      </c>
      <c r="C21" s="53">
        <v>5310990</v>
      </c>
      <c r="D21" s="45" t="s">
        <v>33</v>
      </c>
      <c r="E21" s="57" t="s">
        <v>118</v>
      </c>
      <c r="H21" s="170"/>
      <c r="I21" s="171"/>
      <c r="J21" s="171"/>
      <c r="K21" s="171"/>
      <c r="L21" s="171"/>
      <c r="M21" s="171"/>
      <c r="N21" s="171"/>
      <c r="O21" s="171"/>
      <c r="P21" s="172"/>
    </row>
    <row r="22" spans="1:16" ht="13.5" customHeight="1">
      <c r="A22" s="41"/>
      <c r="B22" s="45" t="s">
        <v>79</v>
      </c>
      <c r="C22" s="53">
        <v>6000000</v>
      </c>
      <c r="D22" s="45" t="s">
        <v>34</v>
      </c>
      <c r="E22" s="57" t="s">
        <v>118</v>
      </c>
      <c r="H22" s="149" t="s">
        <v>151</v>
      </c>
      <c r="I22" s="150"/>
      <c r="J22" s="150"/>
      <c r="K22" s="150"/>
      <c r="L22" s="151"/>
    </row>
    <row r="23" spans="1:16" ht="13.5" customHeight="1">
      <c r="A23" s="41"/>
      <c r="B23" s="45" t="s">
        <v>59</v>
      </c>
      <c r="C23" s="53" t="s">
        <v>118</v>
      </c>
      <c r="D23" s="45" t="s">
        <v>80</v>
      </c>
      <c r="E23" s="57">
        <v>0</v>
      </c>
      <c r="H23" s="152"/>
      <c r="I23" s="153"/>
      <c r="J23" s="153"/>
      <c r="K23" s="153"/>
      <c r="L23" s="154"/>
    </row>
    <row r="24" spans="1:16" ht="13.5" customHeight="1">
      <c r="A24" s="41"/>
      <c r="B24" s="45" t="s">
        <v>58</v>
      </c>
      <c r="C24" s="53" t="s">
        <v>118</v>
      </c>
      <c r="D24" s="45" t="s">
        <v>63</v>
      </c>
      <c r="E24" s="53" t="s">
        <v>118</v>
      </c>
      <c r="H24" s="152"/>
      <c r="I24" s="153"/>
      <c r="J24" s="153"/>
      <c r="K24" s="153"/>
      <c r="L24" s="154"/>
    </row>
    <row r="25" spans="1:16" ht="13.5" customHeight="1">
      <c r="A25" s="41"/>
      <c r="B25" s="45" t="s">
        <v>30</v>
      </c>
      <c r="C25" s="53" t="s">
        <v>118</v>
      </c>
      <c r="D25" s="58" t="s">
        <v>81</v>
      </c>
      <c r="E25" s="53">
        <v>2854085.01</v>
      </c>
      <c r="H25" s="152"/>
      <c r="I25" s="153"/>
      <c r="J25" s="153"/>
      <c r="K25" s="153"/>
      <c r="L25" s="154"/>
    </row>
    <row r="26" spans="1:16" ht="13.5" customHeight="1" thickBot="1">
      <c r="A26" s="41"/>
      <c r="B26" s="59" t="s">
        <v>82</v>
      </c>
      <c r="C26" s="53" t="s">
        <v>118</v>
      </c>
      <c r="D26" s="59" t="s">
        <v>35</v>
      </c>
      <c r="E26" s="53" t="s">
        <v>118</v>
      </c>
      <c r="H26" s="152"/>
      <c r="I26" s="153"/>
      <c r="J26" s="153"/>
      <c r="K26" s="153"/>
      <c r="L26" s="154"/>
    </row>
    <row r="27" spans="1:16" ht="13.5" customHeight="1" thickBot="1">
      <c r="A27" s="41"/>
      <c r="B27" s="60" t="s">
        <v>83</v>
      </c>
      <c r="C27" s="61">
        <v>46083633</v>
      </c>
      <c r="D27" s="60" t="s">
        <v>84</v>
      </c>
      <c r="E27" s="61">
        <v>2854085.01</v>
      </c>
      <c r="H27" s="155"/>
      <c r="I27" s="156"/>
      <c r="J27" s="156"/>
      <c r="K27" s="156"/>
      <c r="L27" s="157"/>
    </row>
    <row r="28" spans="1:16" ht="13.5" customHeight="1" thickBot="1">
      <c r="A28" s="41"/>
      <c r="B28" s="49"/>
      <c r="C28" s="49"/>
      <c r="D28" s="41"/>
      <c r="E28" s="49"/>
    </row>
    <row r="29" spans="1:16" ht="13.5" customHeight="1" thickBot="1">
      <c r="A29" s="41"/>
      <c r="B29" s="49"/>
      <c r="C29" s="158" t="s">
        <v>85</v>
      </c>
      <c r="D29" s="159"/>
      <c r="E29" s="62"/>
    </row>
    <row r="30" spans="1:16" ht="13.5" customHeight="1" thickBot="1">
      <c r="A30" s="41"/>
      <c r="B30" s="49"/>
      <c r="C30" s="160">
        <v>43229547.990000002</v>
      </c>
      <c r="D30" s="161"/>
      <c r="E30" s="63"/>
    </row>
    <row r="31" spans="1:16" ht="13.5" customHeight="1" thickBot="1">
      <c r="A31" s="41"/>
      <c r="B31" s="41"/>
      <c r="C31" s="49"/>
      <c r="D31" s="49"/>
      <c r="E31" s="49"/>
    </row>
    <row r="32" spans="1:16" ht="13.5" customHeight="1" thickBot="1">
      <c r="A32" s="41"/>
      <c r="B32" s="64" t="s">
        <v>86</v>
      </c>
      <c r="C32" s="65"/>
      <c r="D32" s="66" t="s">
        <v>87</v>
      </c>
      <c r="E32" s="67" t="s">
        <v>88</v>
      </c>
    </row>
    <row r="33" spans="1:5" ht="13.5" customHeight="1">
      <c r="A33" s="41"/>
      <c r="B33" s="68">
        <f>INDEX(data[توضیحات فیش حقوقی],MATCH(C6,data[شماره پرسنلی],0))</f>
        <v>0</v>
      </c>
      <c r="C33" s="69"/>
      <c r="D33" s="70"/>
      <c r="E33" s="71"/>
    </row>
    <row r="34" spans="1:5" ht="13.5" customHeight="1" thickBot="1">
      <c r="A34" s="41"/>
      <c r="B34" s="72"/>
      <c r="C34" s="73"/>
      <c r="D34" s="74"/>
      <c r="E34" s="75"/>
    </row>
    <row r="35" spans="1:5" ht="13.5" customHeight="1" thickBot="1">
      <c r="A35" s="41"/>
      <c r="B35" s="76" t="s">
        <v>89</v>
      </c>
      <c r="C35" s="77"/>
      <c r="D35" s="162">
        <f>INDEX(data[شماره حساب/کارت],MATCH(C6,data[شماره پرسنلی],0))</f>
        <v>0</v>
      </c>
      <c r="E35" s="163"/>
    </row>
    <row r="36" spans="1:5" ht="15" customHeight="1"/>
    <row r="37" spans="1:5" ht="17.25">
      <c r="A37" s="40">
        <v>6</v>
      </c>
      <c r="C37" s="41"/>
      <c r="D37" s="41"/>
      <c r="E37" s="41"/>
    </row>
    <row r="38" spans="1:5" ht="20.25" customHeight="1"/>
    <row r="39" spans="1:5" ht="18.75" customHeight="1"/>
    <row r="40" spans="1:5" ht="24" customHeight="1"/>
    <row r="41" spans="1:5" ht="24" customHeight="1"/>
    <row r="42" spans="1:5" ht="24" customHeight="1"/>
    <row r="43" spans="1:5" ht="24" customHeight="1"/>
    <row r="44" spans="1:5" ht="24" customHeight="1"/>
    <row r="45" spans="1:5" ht="24" customHeight="1"/>
    <row r="46" spans="1:5" ht="24" customHeight="1"/>
  </sheetData>
  <sheetProtection algorithmName="SHA-512" hashValue="hW8V8P7ETsNwf6w/VoUXDezbAIP7xHqxBp2M4RHyiOJpw4yrg8b2N0Kctt6quSjtRx9XNhsLIQSZAzHiDl5oRw==" saltValue="KH+AGDPyF2hfiTxYa2DAlA==" spinCount="100000" sheet="1" selectLockedCells="1"/>
  <mergeCells count="6">
    <mergeCell ref="J6:L7"/>
    <mergeCell ref="H22:L27"/>
    <mergeCell ref="C29:D29"/>
    <mergeCell ref="C30:D30"/>
    <mergeCell ref="D35:E35"/>
    <mergeCell ref="H8:P21"/>
  </mergeCells>
  <printOptions horizontalCentered="1" verticalCentered="1"/>
  <pageMargins left="0.25" right="0.25" top="0.75" bottom="0.75" header="0.3" footer="0.3"/>
  <pageSetup paperSize="1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4"/>
  <sheetViews>
    <sheetView rightToLeft="1" zoomScaleNormal="100" workbookViewId="0"/>
  </sheetViews>
  <sheetFormatPr defaultRowHeight="15"/>
  <cols>
    <col min="1" max="1" width="19.5703125" style="30" bestFit="1" customWidth="1"/>
    <col min="2" max="2" width="17" style="30" bestFit="1" customWidth="1"/>
    <col min="3" max="3" width="10" style="30" bestFit="1" customWidth="1"/>
    <col min="4" max="4" width="24.42578125" style="30" bestFit="1" customWidth="1"/>
    <col min="5" max="5" width="31.28515625" style="30" bestFit="1" customWidth="1"/>
    <col min="6" max="6" width="12.85546875" style="30" bestFit="1" customWidth="1"/>
    <col min="7" max="7" width="7" style="30" customWidth="1"/>
    <col min="8" max="8" width="13.7109375" style="30" customWidth="1"/>
    <col min="9" max="9" width="28.7109375" style="30" customWidth="1"/>
    <col min="10" max="10" width="15.5703125" style="30" bestFit="1" customWidth="1"/>
    <col min="11" max="11" width="10.140625" style="30" customWidth="1"/>
    <col min="12" max="14" width="18.7109375" style="30" customWidth="1"/>
    <col min="15" max="16384" width="9.140625" style="30"/>
  </cols>
  <sheetData>
    <row r="2" spans="1:11" ht="18.75" thickBot="1">
      <c r="A2" s="85" t="s">
        <v>203</v>
      </c>
      <c r="D2" s="85" t="s">
        <v>202</v>
      </c>
    </row>
    <row r="3" spans="1:11" ht="18" customHeight="1">
      <c r="A3" s="32" t="s">
        <v>90</v>
      </c>
      <c r="B3" s="33" t="s">
        <v>91</v>
      </c>
      <c r="D3" s="86" t="s">
        <v>92</v>
      </c>
      <c r="E3" s="33">
        <v>100000001</v>
      </c>
      <c r="F3" s="87">
        <v>0</v>
      </c>
      <c r="H3" s="164" t="s">
        <v>152</v>
      </c>
      <c r="I3" s="165"/>
      <c r="J3" s="165"/>
      <c r="K3" s="166"/>
    </row>
    <row r="4" spans="1:11" ht="18" customHeight="1">
      <c r="A4" s="32" t="s">
        <v>93</v>
      </c>
      <c r="B4" s="33">
        <v>1393250</v>
      </c>
      <c r="D4" s="86" t="s">
        <v>94</v>
      </c>
      <c r="E4" s="33">
        <v>140000001</v>
      </c>
      <c r="F4" s="87">
        <v>0.1</v>
      </c>
      <c r="H4" s="167"/>
      <c r="I4" s="168"/>
      <c r="J4" s="168"/>
      <c r="K4" s="169"/>
    </row>
    <row r="5" spans="1:11" ht="18" customHeight="1">
      <c r="A5" s="32" t="s">
        <v>27</v>
      </c>
      <c r="B5" s="33">
        <v>6500000</v>
      </c>
      <c r="D5" s="86" t="s">
        <v>95</v>
      </c>
      <c r="E5" s="33">
        <v>230000001</v>
      </c>
      <c r="F5" s="87">
        <v>0.15</v>
      </c>
      <c r="H5" s="167"/>
      <c r="I5" s="168"/>
      <c r="J5" s="168"/>
      <c r="K5" s="169"/>
    </row>
    <row r="6" spans="1:11" ht="18" customHeight="1">
      <c r="A6" s="32" t="s">
        <v>28</v>
      </c>
      <c r="B6" s="33">
        <v>8500000</v>
      </c>
      <c r="D6" s="86" t="s">
        <v>96</v>
      </c>
      <c r="E6" s="33">
        <v>340000001</v>
      </c>
      <c r="F6" s="87">
        <v>0.2</v>
      </c>
      <c r="H6" s="167"/>
      <c r="I6" s="168"/>
      <c r="J6" s="168"/>
      <c r="K6" s="169"/>
    </row>
    <row r="7" spans="1:11" ht="18" hidden="1" customHeight="1">
      <c r="A7" s="32" t="s">
        <v>97</v>
      </c>
      <c r="B7" s="52">
        <v>0.30555555555555552</v>
      </c>
      <c r="D7" s="86" t="s">
        <v>197</v>
      </c>
      <c r="E7" s="33">
        <v>9.9999999999999998E+23</v>
      </c>
      <c r="F7" s="87">
        <v>0.3</v>
      </c>
      <c r="H7" s="167"/>
      <c r="I7" s="168"/>
      <c r="J7" s="168"/>
      <c r="K7" s="169"/>
    </row>
    <row r="8" spans="1:11" ht="18" customHeight="1">
      <c r="A8" s="34" t="s">
        <v>98</v>
      </c>
      <c r="B8" s="35">
        <v>1.8</v>
      </c>
      <c r="D8" s="86" t="s">
        <v>198</v>
      </c>
      <c r="E8" s="106" t="s">
        <v>199</v>
      </c>
      <c r="F8" s="87">
        <v>0.3</v>
      </c>
      <c r="H8" s="167"/>
      <c r="I8" s="168"/>
      <c r="J8" s="168"/>
      <c r="K8" s="169"/>
    </row>
    <row r="9" spans="1:11" ht="18" customHeight="1">
      <c r="A9" s="34" t="s">
        <v>99</v>
      </c>
      <c r="B9" s="36">
        <v>0.76388888888888895</v>
      </c>
      <c r="H9" s="167"/>
      <c r="I9" s="168"/>
      <c r="J9" s="168"/>
      <c r="K9" s="169"/>
    </row>
    <row r="10" spans="1:11" ht="15" customHeight="1">
      <c r="B10" s="88"/>
      <c r="H10" s="167"/>
      <c r="I10" s="168"/>
      <c r="J10" s="168"/>
      <c r="K10" s="169"/>
    </row>
    <row r="11" spans="1:11" ht="18" customHeight="1">
      <c r="A11" s="85" t="s">
        <v>204</v>
      </c>
      <c r="B11" s="88"/>
      <c r="H11" s="167"/>
      <c r="I11" s="168"/>
      <c r="J11" s="168"/>
      <c r="K11" s="169"/>
    </row>
    <row r="12" spans="1:11" ht="18" customHeight="1">
      <c r="A12" s="89" t="s">
        <v>100</v>
      </c>
      <c r="B12" s="90" t="s">
        <v>101</v>
      </c>
      <c r="C12" s="90" t="s">
        <v>102</v>
      </c>
      <c r="D12" s="90" t="s">
        <v>103</v>
      </c>
      <c r="E12" s="90" t="s">
        <v>104</v>
      </c>
      <c r="F12" s="91" t="s">
        <v>105</v>
      </c>
      <c r="H12" s="167"/>
      <c r="I12" s="168"/>
      <c r="J12" s="168"/>
      <c r="K12" s="169"/>
    </row>
    <row r="13" spans="1:11" ht="18" customHeight="1">
      <c r="A13" s="92" t="s">
        <v>106</v>
      </c>
      <c r="B13" s="93">
        <v>31</v>
      </c>
      <c r="C13" s="93">
        <v>4</v>
      </c>
      <c r="D13" s="93">
        <v>6</v>
      </c>
      <c r="E13" s="93">
        <v>21</v>
      </c>
      <c r="F13" s="94">
        <v>154</v>
      </c>
      <c r="H13" s="167"/>
      <c r="I13" s="168"/>
      <c r="J13" s="168"/>
      <c r="K13" s="169"/>
    </row>
    <row r="14" spans="1:11" ht="18" customHeight="1">
      <c r="A14" s="92" t="s">
        <v>107</v>
      </c>
      <c r="B14" s="93">
        <v>31</v>
      </c>
      <c r="C14" s="93">
        <v>5</v>
      </c>
      <c r="D14" s="93">
        <v>3</v>
      </c>
      <c r="E14" s="93">
        <v>23</v>
      </c>
      <c r="F14" s="94">
        <v>169</v>
      </c>
      <c r="H14" s="167"/>
      <c r="I14" s="168"/>
      <c r="J14" s="168"/>
      <c r="K14" s="169"/>
    </row>
    <row r="15" spans="1:11" ht="18" customHeight="1" thickBot="1">
      <c r="A15" s="92" t="s">
        <v>108</v>
      </c>
      <c r="B15" s="93">
        <v>31</v>
      </c>
      <c r="C15" s="93">
        <v>4</v>
      </c>
      <c r="D15" s="93">
        <v>2</v>
      </c>
      <c r="E15" s="93">
        <v>25</v>
      </c>
      <c r="F15" s="94">
        <v>183</v>
      </c>
      <c r="H15" s="170"/>
      <c r="I15" s="171"/>
      <c r="J15" s="171"/>
      <c r="K15" s="172"/>
    </row>
    <row r="16" spans="1:11" ht="18" customHeight="1">
      <c r="A16" s="92" t="s">
        <v>2</v>
      </c>
      <c r="B16" s="93">
        <v>31</v>
      </c>
      <c r="C16" s="93">
        <v>5</v>
      </c>
      <c r="D16" s="93">
        <v>1</v>
      </c>
      <c r="E16" s="93">
        <v>25</v>
      </c>
      <c r="F16" s="94">
        <v>183</v>
      </c>
      <c r="H16" s="149" t="s">
        <v>153</v>
      </c>
      <c r="I16" s="151"/>
      <c r="K16" s="95"/>
    </row>
    <row r="17" spans="1:11" ht="18">
      <c r="A17" s="92" t="s">
        <v>109</v>
      </c>
      <c r="B17" s="93">
        <v>31</v>
      </c>
      <c r="C17" s="93">
        <v>4</v>
      </c>
      <c r="D17" s="93">
        <v>1</v>
      </c>
      <c r="E17" s="93">
        <v>26</v>
      </c>
      <c r="F17" s="94">
        <v>191</v>
      </c>
      <c r="H17" s="152"/>
      <c r="I17" s="154"/>
      <c r="K17" s="95"/>
    </row>
    <row r="18" spans="1:11" ht="18">
      <c r="A18" s="92" t="s">
        <v>110</v>
      </c>
      <c r="B18" s="93">
        <v>31</v>
      </c>
      <c r="C18" s="93">
        <v>5</v>
      </c>
      <c r="D18" s="93">
        <v>3</v>
      </c>
      <c r="E18" s="93">
        <v>23</v>
      </c>
      <c r="F18" s="94">
        <v>169</v>
      </c>
      <c r="H18" s="152"/>
      <c r="I18" s="154"/>
    </row>
    <row r="19" spans="1:11" ht="18">
      <c r="A19" s="92" t="s">
        <v>111</v>
      </c>
      <c r="B19" s="93">
        <v>30</v>
      </c>
      <c r="C19" s="93">
        <v>4</v>
      </c>
      <c r="D19" s="93">
        <v>2</v>
      </c>
      <c r="E19" s="93">
        <v>24</v>
      </c>
      <c r="F19" s="94">
        <v>176</v>
      </c>
      <c r="H19" s="152"/>
      <c r="I19" s="154"/>
    </row>
    <row r="20" spans="1:11" ht="18.75" thickBot="1">
      <c r="A20" s="92" t="s">
        <v>112</v>
      </c>
      <c r="B20" s="93">
        <v>30</v>
      </c>
      <c r="C20" s="93">
        <v>4</v>
      </c>
      <c r="D20" s="93">
        <v>0</v>
      </c>
      <c r="E20" s="93">
        <v>26</v>
      </c>
      <c r="F20" s="94">
        <v>191</v>
      </c>
      <c r="H20" s="155"/>
      <c r="I20" s="157"/>
    </row>
    <row r="21" spans="1:11" ht="18.75" thickBot="1">
      <c r="A21" s="92" t="s">
        <v>113</v>
      </c>
      <c r="B21" s="93">
        <v>30</v>
      </c>
      <c r="C21" s="93">
        <v>4</v>
      </c>
      <c r="D21" s="93">
        <v>1</v>
      </c>
      <c r="E21" s="93">
        <v>25</v>
      </c>
      <c r="F21" s="94">
        <v>183</v>
      </c>
    </row>
    <row r="22" spans="1:11" ht="18" customHeight="1">
      <c r="A22" s="92" t="s">
        <v>114</v>
      </c>
      <c r="B22" s="93">
        <v>30</v>
      </c>
      <c r="C22" s="93">
        <v>5</v>
      </c>
      <c r="D22" s="93">
        <v>0</v>
      </c>
      <c r="E22" s="93">
        <v>25</v>
      </c>
      <c r="F22" s="94">
        <v>183</v>
      </c>
      <c r="H22" s="173" t="s">
        <v>154</v>
      </c>
      <c r="I22" s="174"/>
      <c r="J22" s="174"/>
      <c r="K22" s="175"/>
    </row>
    <row r="23" spans="1:11" ht="18" customHeight="1">
      <c r="A23" s="92" t="s">
        <v>115</v>
      </c>
      <c r="B23" s="93">
        <v>30</v>
      </c>
      <c r="C23" s="93">
        <v>4</v>
      </c>
      <c r="D23" s="93">
        <v>3</v>
      </c>
      <c r="E23" s="93">
        <v>23</v>
      </c>
      <c r="F23" s="94">
        <v>169</v>
      </c>
      <c r="H23" s="176"/>
      <c r="I23" s="177"/>
      <c r="J23" s="177"/>
      <c r="K23" s="178"/>
    </row>
    <row r="24" spans="1:11" ht="18" customHeight="1">
      <c r="A24" s="92" t="s">
        <v>116</v>
      </c>
      <c r="B24" s="93">
        <v>29</v>
      </c>
      <c r="C24" s="93">
        <v>4</v>
      </c>
      <c r="D24" s="93">
        <v>2</v>
      </c>
      <c r="E24" s="93">
        <v>23</v>
      </c>
      <c r="F24" s="94">
        <v>169</v>
      </c>
      <c r="H24" s="176"/>
      <c r="I24" s="177"/>
      <c r="J24" s="177"/>
      <c r="K24" s="178"/>
    </row>
    <row r="25" spans="1:11" ht="18" customHeight="1">
      <c r="A25" s="96"/>
      <c r="B25" s="96">
        <f>SUBTOTAL(109,Table1[روزهای ماه])</f>
        <v>365</v>
      </c>
      <c r="C25" s="96">
        <f>SUBTOTAL(109,Table1[تعداد جمعه‌ها])</f>
        <v>52</v>
      </c>
      <c r="D25" s="96">
        <f>SUBTOTAL(109,Table1[تعداد تعطیلات رسمی غیر از جمعه])</f>
        <v>24</v>
      </c>
      <c r="E25" s="96">
        <f>SUBTOTAL(109,Table1[تعداد روز کاری])</f>
        <v>289</v>
      </c>
      <c r="F25" s="96">
        <f>SUBTOTAL(109,Table1[ساعت کار موظفی])</f>
        <v>2120</v>
      </c>
      <c r="H25" s="176"/>
      <c r="I25" s="177"/>
      <c r="J25" s="177"/>
      <c r="K25" s="178"/>
    </row>
    <row r="26" spans="1:11" ht="15" customHeight="1">
      <c r="H26" s="176"/>
      <c r="I26" s="177"/>
      <c r="J26" s="177"/>
      <c r="K26" s="178"/>
    </row>
    <row r="27" spans="1:11" ht="15" customHeight="1">
      <c r="H27" s="176"/>
      <c r="I27" s="177"/>
      <c r="J27" s="177"/>
      <c r="K27" s="178"/>
    </row>
    <row r="28" spans="1:11" ht="15" customHeight="1" thickBot="1">
      <c r="H28" s="179"/>
      <c r="I28" s="180"/>
      <c r="J28" s="180"/>
      <c r="K28" s="181"/>
    </row>
    <row r="29" spans="1:11" ht="15" customHeight="1">
      <c r="H29" s="97"/>
      <c r="I29" s="97"/>
      <c r="J29" s="97"/>
      <c r="K29" s="97"/>
    </row>
    <row r="30" spans="1:11" ht="15" customHeight="1">
      <c r="H30" s="97"/>
      <c r="I30" s="97"/>
      <c r="J30" s="97"/>
      <c r="K30" s="97"/>
    </row>
    <row r="31" spans="1:11" ht="15" customHeight="1">
      <c r="H31" s="97"/>
      <c r="I31" s="97"/>
      <c r="J31" s="97"/>
      <c r="K31" s="97"/>
    </row>
    <row r="32" spans="1:11" ht="15" customHeight="1">
      <c r="H32" s="97"/>
      <c r="I32" s="97"/>
      <c r="J32" s="97"/>
      <c r="K32" s="97"/>
    </row>
    <row r="33" spans="8:11" ht="15" customHeight="1">
      <c r="H33" s="97"/>
      <c r="I33" s="97"/>
      <c r="J33" s="97"/>
      <c r="K33" s="97"/>
    </row>
    <row r="34" spans="8:11" ht="15.75" customHeight="1">
      <c r="H34" s="97"/>
      <c r="I34" s="97"/>
      <c r="J34" s="97"/>
      <c r="K34" s="97"/>
    </row>
  </sheetData>
  <sheetProtection algorithmName="SHA-512" hashValue="LIQrQgn26ZRtsJ8uFw3BKo2nJv/cklEBNzxHpzI4Zoqtls7O1fEl0yHmLgh7l5zmyHQI49CvSxmzDMK6m/kGyg==" saltValue="kSf50U1Lacb7ZeQlhZ7d9A==" spinCount="100000" sheet="1" selectLockedCells="1"/>
  <mergeCells count="3">
    <mergeCell ref="H3:K15"/>
    <mergeCell ref="H16:I20"/>
    <mergeCell ref="H22:K28"/>
  </mergeCells>
  <pageMargins left="0.7" right="0.7" top="0.75" bottom="0.75" header="0.3" footer="0.3"/>
  <pageSetup orientation="portrait" horizontalDpi="0" verticalDpi="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D2:O12"/>
  <sheetViews>
    <sheetView rightToLeft="1" workbookViewId="0">
      <selection activeCell="G17" sqref="G17"/>
    </sheetView>
  </sheetViews>
  <sheetFormatPr defaultRowHeight="15"/>
  <cols>
    <col min="5" max="5" width="9.5703125" customWidth="1"/>
    <col min="7" max="7" width="23.85546875" customWidth="1"/>
  </cols>
  <sheetData>
    <row r="2" spans="4:15">
      <c r="D2" s="182" t="s">
        <v>194</v>
      </c>
      <c r="E2" s="182"/>
      <c r="F2" s="182"/>
      <c r="G2" s="182"/>
      <c r="H2" s="182"/>
      <c r="I2" s="182"/>
      <c r="J2" s="182"/>
      <c r="K2" s="182"/>
      <c r="L2" s="182"/>
    </row>
    <row r="3" spans="4:15">
      <c r="D3" s="182"/>
      <c r="E3" s="182"/>
      <c r="F3" s="182"/>
      <c r="G3" s="182"/>
      <c r="H3" s="182"/>
      <c r="I3" s="182"/>
      <c r="J3" s="182"/>
      <c r="K3" s="182"/>
      <c r="L3" s="182"/>
    </row>
    <row r="4" spans="4:15">
      <c r="D4" s="182"/>
      <c r="E4" s="182"/>
      <c r="F4" s="182"/>
      <c r="G4" s="182"/>
      <c r="H4" s="182"/>
      <c r="I4" s="182"/>
      <c r="J4" s="182"/>
      <c r="K4" s="182"/>
      <c r="L4" s="182"/>
    </row>
    <row r="6" spans="4:15" ht="15" customHeight="1" thickBot="1">
      <c r="D6" s="104"/>
      <c r="E6" s="105"/>
      <c r="F6" s="105"/>
      <c r="G6" s="105"/>
      <c r="H6" s="105"/>
      <c r="I6" s="105"/>
      <c r="J6" s="105"/>
      <c r="K6" s="105"/>
      <c r="L6" s="105"/>
    </row>
    <row r="7" spans="4:15">
      <c r="D7" s="183" t="s">
        <v>195</v>
      </c>
      <c r="E7" s="183"/>
      <c r="F7" s="183"/>
      <c r="G7" s="184"/>
      <c r="H7" s="185" t="s">
        <v>196</v>
      </c>
      <c r="I7" s="186"/>
      <c r="J7" s="186"/>
      <c r="K7" s="186"/>
      <c r="L7" s="186"/>
      <c r="M7" s="186"/>
      <c r="N7" s="186"/>
      <c r="O7" s="187"/>
    </row>
    <row r="8" spans="4:15">
      <c r="D8" s="183"/>
      <c r="E8" s="183"/>
      <c r="F8" s="183"/>
      <c r="G8" s="184"/>
      <c r="H8" s="188"/>
      <c r="I8" s="189"/>
      <c r="J8" s="189"/>
      <c r="K8" s="189"/>
      <c r="L8" s="189"/>
      <c r="M8" s="189"/>
      <c r="N8" s="189"/>
      <c r="O8" s="190"/>
    </row>
    <row r="9" spans="4:15" ht="15.75" thickBot="1">
      <c r="D9" s="183"/>
      <c r="E9" s="183"/>
      <c r="F9" s="183"/>
      <c r="G9" s="184"/>
      <c r="H9" s="191"/>
      <c r="I9" s="192"/>
      <c r="J9" s="192"/>
      <c r="K9" s="192"/>
      <c r="L9" s="192"/>
      <c r="M9" s="192"/>
      <c r="N9" s="192"/>
      <c r="O9" s="193"/>
    </row>
    <row r="10" spans="4:15">
      <c r="D10" s="183" t="s">
        <v>201</v>
      </c>
      <c r="E10" s="183"/>
      <c r="F10" s="183"/>
      <c r="G10" s="184"/>
      <c r="H10" s="185" t="s">
        <v>200</v>
      </c>
      <c r="I10" s="186"/>
      <c r="J10" s="186"/>
      <c r="K10" s="186"/>
      <c r="L10" s="186"/>
      <c r="M10" s="186"/>
      <c r="N10" s="186"/>
      <c r="O10" s="187"/>
    </row>
    <row r="11" spans="4:15">
      <c r="D11" s="183"/>
      <c r="E11" s="183"/>
      <c r="F11" s="183"/>
      <c r="G11" s="184"/>
      <c r="H11" s="188"/>
      <c r="I11" s="189"/>
      <c r="J11" s="189"/>
      <c r="K11" s="189"/>
      <c r="L11" s="189"/>
      <c r="M11" s="189"/>
      <c r="N11" s="189"/>
      <c r="O11" s="190"/>
    </row>
    <row r="12" spans="4:15" ht="15.75" thickBot="1">
      <c r="D12" s="183"/>
      <c r="E12" s="183"/>
      <c r="F12" s="183"/>
      <c r="G12" s="184"/>
      <c r="H12" s="191"/>
      <c r="I12" s="192"/>
      <c r="J12" s="192"/>
      <c r="K12" s="192"/>
      <c r="L12" s="192"/>
      <c r="M12" s="192"/>
      <c r="N12" s="192"/>
      <c r="O12" s="193"/>
    </row>
  </sheetData>
  <mergeCells count="5">
    <mergeCell ref="D2:L4"/>
    <mergeCell ref="D7:G9"/>
    <mergeCell ref="H7:O9"/>
    <mergeCell ref="D10:G12"/>
    <mergeCell ref="H10:O12"/>
  </mergeCells>
  <hyperlinks>
    <hyperlink ref="H7" r:id="rId1"/>
    <hyperlink ref="H10" r:id="rId2"/>
  </hyperlinks>
  <pageMargins left="0.7" right="0.7" top="0.75" bottom="0.75" header="0.3" footer="0.3"/>
  <pageSetup orientation="portrait" horizontalDpi="0" verticalDpi="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39"/>
  <sheetViews>
    <sheetView rightToLeft="1" zoomScaleNormal="100" workbookViewId="0">
      <selection activeCell="B10" sqref="B10"/>
    </sheetView>
  </sheetViews>
  <sheetFormatPr defaultRowHeight="22.5"/>
  <cols>
    <col min="1" max="1" width="9.28515625" style="98" customWidth="1"/>
    <col min="2" max="2" width="70.42578125" style="103" customWidth="1"/>
  </cols>
  <sheetData>
    <row r="1" spans="1:2" ht="27">
      <c r="A1" s="100" t="s">
        <v>4</v>
      </c>
      <c r="B1" s="101" t="s">
        <v>193</v>
      </c>
    </row>
    <row r="2" spans="1:2">
      <c r="A2" s="99">
        <v>1</v>
      </c>
      <c r="B2" s="102" t="s">
        <v>155</v>
      </c>
    </row>
    <row r="3" spans="1:2">
      <c r="A3" s="99">
        <v>2</v>
      </c>
      <c r="B3" s="102" t="s">
        <v>156</v>
      </c>
    </row>
    <row r="4" spans="1:2">
      <c r="A4" s="99">
        <v>3</v>
      </c>
      <c r="B4" s="102" t="s">
        <v>157</v>
      </c>
    </row>
    <row r="5" spans="1:2">
      <c r="A5" s="99">
        <v>4</v>
      </c>
      <c r="B5" s="102" t="s">
        <v>158</v>
      </c>
    </row>
    <row r="6" spans="1:2">
      <c r="A6" s="99">
        <v>5</v>
      </c>
      <c r="B6" s="102" t="s">
        <v>159</v>
      </c>
    </row>
    <row r="7" spans="1:2">
      <c r="A7" s="99">
        <v>6</v>
      </c>
      <c r="B7" s="102" t="s">
        <v>160</v>
      </c>
    </row>
    <row r="8" spans="1:2">
      <c r="A8" s="99">
        <v>7</v>
      </c>
      <c r="B8" s="102" t="s">
        <v>161</v>
      </c>
    </row>
    <row r="9" spans="1:2">
      <c r="A9" s="99">
        <v>8</v>
      </c>
      <c r="B9" s="102" t="s">
        <v>162</v>
      </c>
    </row>
    <row r="10" spans="1:2">
      <c r="A10" s="99">
        <v>9</v>
      </c>
      <c r="B10" s="102" t="s">
        <v>163</v>
      </c>
    </row>
    <row r="11" spans="1:2">
      <c r="A11" s="99">
        <v>10</v>
      </c>
      <c r="B11" s="102" t="s">
        <v>164</v>
      </c>
    </row>
    <row r="12" spans="1:2" ht="45">
      <c r="A12" s="99">
        <v>11</v>
      </c>
      <c r="B12" s="102" t="s">
        <v>165</v>
      </c>
    </row>
    <row r="13" spans="1:2">
      <c r="A13" s="99">
        <v>12</v>
      </c>
      <c r="B13" s="102" t="s">
        <v>166</v>
      </c>
    </row>
    <row r="14" spans="1:2">
      <c r="A14" s="99">
        <v>13</v>
      </c>
      <c r="B14" s="102" t="s">
        <v>167</v>
      </c>
    </row>
    <row r="15" spans="1:2" ht="45">
      <c r="A15" s="99">
        <v>14</v>
      </c>
      <c r="B15" s="102" t="s">
        <v>168</v>
      </c>
    </row>
    <row r="16" spans="1:2">
      <c r="A16" s="99">
        <v>15</v>
      </c>
      <c r="B16" s="102" t="s">
        <v>169</v>
      </c>
    </row>
    <row r="17" spans="1:2">
      <c r="A17" s="99">
        <v>16</v>
      </c>
      <c r="B17" s="102" t="s">
        <v>170</v>
      </c>
    </row>
    <row r="18" spans="1:2">
      <c r="A18" s="99">
        <v>17</v>
      </c>
      <c r="B18" s="102" t="s">
        <v>171</v>
      </c>
    </row>
    <row r="19" spans="1:2">
      <c r="A19" s="99">
        <v>18</v>
      </c>
      <c r="B19" s="102" t="s">
        <v>172</v>
      </c>
    </row>
    <row r="20" spans="1:2">
      <c r="A20" s="99">
        <v>19</v>
      </c>
      <c r="B20" s="102" t="s">
        <v>173</v>
      </c>
    </row>
    <row r="21" spans="1:2" ht="45">
      <c r="A21" s="99">
        <v>20</v>
      </c>
      <c r="B21" s="102" t="s">
        <v>174</v>
      </c>
    </row>
    <row r="22" spans="1:2">
      <c r="A22" s="99">
        <v>21</v>
      </c>
      <c r="B22" s="102" t="s">
        <v>175</v>
      </c>
    </row>
    <row r="23" spans="1:2">
      <c r="A23" s="99">
        <v>22</v>
      </c>
      <c r="B23" s="102" t="s">
        <v>176</v>
      </c>
    </row>
    <row r="24" spans="1:2">
      <c r="A24" s="99">
        <v>23</v>
      </c>
      <c r="B24" s="102" t="s">
        <v>177</v>
      </c>
    </row>
    <row r="25" spans="1:2">
      <c r="A25" s="99">
        <v>24</v>
      </c>
      <c r="B25" s="102" t="s">
        <v>178</v>
      </c>
    </row>
    <row r="26" spans="1:2" ht="45">
      <c r="A26" s="99">
        <v>25</v>
      </c>
      <c r="B26" s="102" t="s">
        <v>179</v>
      </c>
    </row>
    <row r="27" spans="1:2">
      <c r="A27" s="99">
        <v>26</v>
      </c>
      <c r="B27" s="102" t="s">
        <v>180</v>
      </c>
    </row>
    <row r="28" spans="1:2">
      <c r="A28" s="99">
        <v>27</v>
      </c>
      <c r="B28" s="102" t="s">
        <v>181</v>
      </c>
    </row>
    <row r="29" spans="1:2">
      <c r="A29" s="99">
        <v>28</v>
      </c>
      <c r="B29" s="102" t="s">
        <v>182</v>
      </c>
    </row>
    <row r="30" spans="1:2" ht="45">
      <c r="A30" s="99">
        <v>29</v>
      </c>
      <c r="B30" s="102" t="s">
        <v>183</v>
      </c>
    </row>
    <row r="31" spans="1:2">
      <c r="A31" s="99">
        <v>30</v>
      </c>
      <c r="B31" s="102" t="s">
        <v>184</v>
      </c>
    </row>
    <row r="32" spans="1:2">
      <c r="A32" s="99">
        <v>31</v>
      </c>
      <c r="B32" s="102" t="s">
        <v>185</v>
      </c>
    </row>
    <row r="33" spans="1:2">
      <c r="A33" s="99">
        <v>32</v>
      </c>
      <c r="B33" s="102" t="s">
        <v>186</v>
      </c>
    </row>
    <row r="34" spans="1:2">
      <c r="A34" s="99">
        <v>33</v>
      </c>
      <c r="B34" s="102" t="s">
        <v>187</v>
      </c>
    </row>
    <row r="35" spans="1:2">
      <c r="A35" s="99">
        <v>34</v>
      </c>
      <c r="B35" s="102" t="s">
        <v>188</v>
      </c>
    </row>
    <row r="36" spans="1:2">
      <c r="A36" s="99">
        <v>35</v>
      </c>
      <c r="B36" s="102" t="s">
        <v>189</v>
      </c>
    </row>
    <row r="37" spans="1:2">
      <c r="A37" s="99">
        <v>36</v>
      </c>
      <c r="B37" s="102" t="s">
        <v>190</v>
      </c>
    </row>
    <row r="38" spans="1:2" ht="45">
      <c r="A38" s="99">
        <v>37</v>
      </c>
      <c r="B38" s="102" t="s">
        <v>191</v>
      </c>
    </row>
    <row r="39" spans="1:2">
      <c r="A39" s="99">
        <v>38</v>
      </c>
      <c r="B39" s="102" t="s">
        <v>192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داده ها</vt:lpstr>
      <vt:lpstr>لیست حقوق</vt:lpstr>
      <vt:lpstr>فیش حقوقی</vt:lpstr>
      <vt:lpstr>تنظیمات</vt:lpstr>
      <vt:lpstr>لینک خرید نسخه کامل</vt:lpstr>
      <vt:lpstr>امکانات</vt:lpstr>
      <vt:lpstr>'فیش حقوقی'!Print_Area</vt:lpstr>
      <vt:lpstr>بله</vt:lpstr>
      <vt:lpstr>خیر</vt:lpstr>
      <vt:lpstr>معافیت_ماهانه_پله1</vt:lpstr>
    </vt:vector>
  </TitlesOfParts>
  <Manager/>
  <Company>diakov.net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RePack by Diakov</dc:creator>
  <cp:keywords/>
  <dc:description/>
  <cp:lastModifiedBy>ART</cp:lastModifiedBy>
  <cp:revision/>
  <cp:lastPrinted>2021-12-29T11:53:26Z</cp:lastPrinted>
  <dcterms:created xsi:type="dcterms:W3CDTF">2021-06-26T11:18:08Z</dcterms:created>
  <dcterms:modified xsi:type="dcterms:W3CDTF">2023-03-26T19:59:51Z</dcterms:modified>
  <cp:category/>
  <cp:contentStatus/>
</cp:coreProperties>
</file>